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Данные Заявителя" sheetId="3" r:id="rId1"/>
    <sheet name="Итоговые расчеты модели" sheetId="4" r:id="rId2"/>
    <sheet name="отчеты квартальные" sheetId="5" r:id="rId3"/>
  </sheets>
  <definedNames>
    <definedName name="Налоги" comment="выбор системы налогообложения" localSheetId="0">'Данные Заявителя'!$A$95:$A$97</definedName>
    <definedName name="_xlnm.Print_Area" localSheetId="2">'отчеты квартальные'!$A$1:$H$48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4" i="4" l="1"/>
  <c r="L84" i="4"/>
  <c r="K84" i="4"/>
  <c r="J84" i="4"/>
  <c r="I84" i="4"/>
  <c r="H84" i="4"/>
  <c r="G84" i="4"/>
  <c r="E84" i="4"/>
  <c r="B84" i="4"/>
  <c r="A39" i="4" l="1"/>
  <c r="C8" i="4"/>
  <c r="C32" i="5" l="1"/>
  <c r="D17" i="5"/>
  <c r="C20" i="5"/>
  <c r="C22" i="5" s="1"/>
  <c r="C23" i="5" s="1"/>
  <c r="C24" i="5" s="1"/>
  <c r="C26" i="5" s="1"/>
  <c r="C28" i="5" s="1"/>
  <c r="C19" i="5"/>
  <c r="D3" i="5"/>
  <c r="C29" i="5" l="1"/>
  <c r="C30" i="5"/>
  <c r="C31" i="5" s="1"/>
  <c r="B151" i="4"/>
  <c r="D16" i="5" s="1"/>
  <c r="M149" i="4"/>
  <c r="L149" i="4"/>
  <c r="K149" i="4"/>
  <c r="J149" i="4"/>
  <c r="I149" i="4"/>
  <c r="H149" i="4"/>
  <c r="G149" i="4"/>
  <c r="F149" i="4"/>
  <c r="E149" i="4"/>
  <c r="D149" i="4"/>
  <c r="C149" i="4"/>
  <c r="B149" i="4"/>
  <c r="D8" i="5" s="1"/>
  <c r="A311" i="4"/>
  <c r="C151" i="4" l="1"/>
  <c r="D151" i="4" s="1"/>
  <c r="E151" i="4" s="1"/>
  <c r="F151" i="4" s="1"/>
  <c r="G151" i="4" s="1"/>
  <c r="H151" i="4" s="1"/>
  <c r="I151" i="4" s="1"/>
  <c r="J151" i="4" s="1"/>
  <c r="K151" i="4" s="1"/>
  <c r="L151" i="4" s="1"/>
  <c r="M151" i="4" s="1"/>
  <c r="D34" i="5"/>
  <c r="C92" i="4"/>
  <c r="D92" i="4"/>
  <c r="E92" i="4"/>
  <c r="F92" i="4"/>
  <c r="G92" i="4"/>
  <c r="H92" i="4"/>
  <c r="I92" i="4"/>
  <c r="J92" i="4"/>
  <c r="K92" i="4"/>
  <c r="L92" i="4"/>
  <c r="M92" i="4"/>
  <c r="B92" i="4"/>
  <c r="C88" i="4"/>
  <c r="D88" i="4"/>
  <c r="E88" i="4"/>
  <c r="E87" i="4" s="1"/>
  <c r="F88" i="4"/>
  <c r="F87" i="4" s="1"/>
  <c r="G88" i="4"/>
  <c r="G87" i="4" s="1"/>
  <c r="H88" i="4"/>
  <c r="H87" i="4" s="1"/>
  <c r="I88" i="4"/>
  <c r="I87" i="4" s="1"/>
  <c r="J88" i="4"/>
  <c r="J87" i="4" s="1"/>
  <c r="K88" i="4"/>
  <c r="K87" i="4" s="1"/>
  <c r="L88" i="4"/>
  <c r="L87" i="4" s="1"/>
  <c r="M88" i="4"/>
  <c r="M87" i="4" s="1"/>
  <c r="B88" i="4"/>
  <c r="N82" i="4"/>
  <c r="B95" i="4"/>
  <c r="N95" i="4" s="1"/>
  <c r="B89" i="4"/>
  <c r="N89" i="4" s="1"/>
  <c r="F84" i="4"/>
  <c r="F83" i="4" s="1"/>
  <c r="F85" i="4" s="1"/>
  <c r="F103" i="4" s="1"/>
  <c r="D84" i="4"/>
  <c r="D83" i="4" s="1"/>
  <c r="D85" i="4" s="1"/>
  <c r="D103" i="4" s="1"/>
  <c r="C84" i="4"/>
  <c r="C83" i="4" s="1"/>
  <c r="C85" i="4" s="1"/>
  <c r="C103" i="4" s="1"/>
  <c r="B83" i="4"/>
  <c r="B85" i="4" s="1"/>
  <c r="D87" i="4"/>
  <c r="C87" i="4"/>
  <c r="M83" i="4"/>
  <c r="M85" i="4" s="1"/>
  <c r="M103" i="4" s="1"/>
  <c r="L83" i="4"/>
  <c r="L85" i="4" s="1"/>
  <c r="L103" i="4" s="1"/>
  <c r="K83" i="4"/>
  <c r="K85" i="4" s="1"/>
  <c r="K103" i="4" s="1"/>
  <c r="J83" i="4"/>
  <c r="J85" i="4" s="1"/>
  <c r="J103" i="4" s="1"/>
  <c r="I83" i="4"/>
  <c r="I85" i="4" s="1"/>
  <c r="I103" i="4" s="1"/>
  <c r="H83" i="4"/>
  <c r="H85" i="4" s="1"/>
  <c r="H103" i="4" s="1"/>
  <c r="G83" i="4"/>
  <c r="G85" i="4" s="1"/>
  <c r="G103" i="4" s="1"/>
  <c r="E83" i="4"/>
  <c r="E85" i="4" s="1"/>
  <c r="E103" i="4" s="1"/>
  <c r="O57" i="4"/>
  <c r="N57" i="4"/>
  <c r="M57" i="4"/>
  <c r="L57" i="4"/>
  <c r="J57" i="4"/>
  <c r="I57" i="4"/>
  <c r="H57" i="4"/>
  <c r="G57" i="4"/>
  <c r="E57" i="4"/>
  <c r="D57" i="4"/>
  <c r="C57" i="4"/>
  <c r="B57" i="4"/>
  <c r="L34" i="4"/>
  <c r="M34" i="4"/>
  <c r="N34" i="4"/>
  <c r="O34" i="4"/>
  <c r="L35" i="4"/>
  <c r="M35" i="4"/>
  <c r="N35" i="4"/>
  <c r="O35" i="4"/>
  <c r="L36" i="4"/>
  <c r="M36" i="4"/>
  <c r="N36" i="4"/>
  <c r="O36" i="4"/>
  <c r="L37" i="4"/>
  <c r="M37" i="4"/>
  <c r="N37" i="4"/>
  <c r="O37" i="4"/>
  <c r="L38" i="4"/>
  <c r="M38" i="4"/>
  <c r="N38" i="4"/>
  <c r="O38" i="4"/>
  <c r="L39" i="4"/>
  <c r="M39" i="4"/>
  <c r="N39" i="4"/>
  <c r="O39" i="4"/>
  <c r="G34" i="4"/>
  <c r="H34" i="4"/>
  <c r="I34" i="4"/>
  <c r="J34" i="4"/>
  <c r="G35" i="4"/>
  <c r="H35" i="4"/>
  <c r="I35" i="4"/>
  <c r="J35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O33" i="4"/>
  <c r="N33" i="4"/>
  <c r="M33" i="4"/>
  <c r="L33" i="4"/>
  <c r="J33" i="4"/>
  <c r="I33" i="4"/>
  <c r="H33" i="4"/>
  <c r="G33" i="4"/>
  <c r="E33" i="4"/>
  <c r="D33" i="4"/>
  <c r="C33" i="4"/>
  <c r="B33" i="4"/>
  <c r="C6" i="4"/>
  <c r="B110" i="4" s="1"/>
  <c r="B107" i="4" s="1"/>
  <c r="L108" i="4" s="1"/>
  <c r="L311" i="4" s="1"/>
  <c r="B26" i="4"/>
  <c r="B63" i="4" s="1"/>
  <c r="C5" i="4"/>
  <c r="C14" i="4"/>
  <c r="C13" i="4"/>
  <c r="B2" i="4"/>
  <c r="C76" i="4" l="1"/>
  <c r="C75" i="4" s="1"/>
  <c r="C139" i="4"/>
  <c r="E76" i="4"/>
  <c r="E75" i="4" s="1"/>
  <c r="E139" i="4"/>
  <c r="G76" i="4"/>
  <c r="G75" i="4" s="1"/>
  <c r="G139" i="4"/>
  <c r="I76" i="4"/>
  <c r="I75" i="4" s="1"/>
  <c r="I139" i="4"/>
  <c r="K76" i="4"/>
  <c r="K75" i="4" s="1"/>
  <c r="K139" i="4"/>
  <c r="M76" i="4"/>
  <c r="M75" i="4" s="1"/>
  <c r="M139" i="4"/>
  <c r="B76" i="4"/>
  <c r="B75" i="4" s="1"/>
  <c r="B139" i="4"/>
  <c r="D9" i="5" s="1"/>
  <c r="D76" i="4"/>
  <c r="D75" i="4" s="1"/>
  <c r="D139" i="4"/>
  <c r="F76" i="4"/>
  <c r="F75" i="4" s="1"/>
  <c r="F139" i="4"/>
  <c r="H76" i="4"/>
  <c r="H75" i="4" s="1"/>
  <c r="H139" i="4"/>
  <c r="J76" i="4"/>
  <c r="J75" i="4" s="1"/>
  <c r="J139" i="4"/>
  <c r="L76" i="4"/>
  <c r="L75" i="4" s="1"/>
  <c r="L139" i="4"/>
  <c r="L309" i="4"/>
  <c r="C108" i="4"/>
  <c r="C311" i="4" s="1"/>
  <c r="C309" i="4" s="1"/>
  <c r="E108" i="4"/>
  <c r="E311" i="4" s="1"/>
  <c r="E309" i="4" s="1"/>
  <c r="G108" i="4"/>
  <c r="G311" i="4" s="1"/>
  <c r="G309" i="4" s="1"/>
  <c r="I108" i="4"/>
  <c r="I311" i="4" s="1"/>
  <c r="I309" i="4" s="1"/>
  <c r="K108" i="4"/>
  <c r="K311" i="4" s="1"/>
  <c r="K309" i="4" s="1"/>
  <c r="M108" i="4"/>
  <c r="M311" i="4" s="1"/>
  <c r="M309" i="4" s="1"/>
  <c r="B108" i="4"/>
  <c r="B311" i="4" s="1"/>
  <c r="D108" i="4"/>
  <c r="D311" i="4" s="1"/>
  <c r="D309" i="4" s="1"/>
  <c r="F108" i="4"/>
  <c r="F311" i="4" s="1"/>
  <c r="F309" i="4" s="1"/>
  <c r="H108" i="4"/>
  <c r="H311" i="4" s="1"/>
  <c r="H309" i="4" s="1"/>
  <c r="J108" i="4"/>
  <c r="J311" i="4" s="1"/>
  <c r="J309" i="4" s="1"/>
  <c r="N88" i="4"/>
  <c r="N92" i="4"/>
  <c r="N85" i="4"/>
  <c r="N84" i="4"/>
  <c r="B103" i="4"/>
  <c r="N83" i="4"/>
  <c r="B87" i="4"/>
  <c r="N87" i="4" s="1"/>
  <c r="C19" i="4"/>
  <c r="C17" i="4" s="1"/>
  <c r="N75" i="4" l="1"/>
  <c r="N76" i="4"/>
  <c r="B309" i="4"/>
  <c r="L31" i="4"/>
  <c r="M31" i="4" s="1"/>
  <c r="C18" i="4"/>
  <c r="G31" i="4" s="1"/>
  <c r="H31" i="4" s="1"/>
  <c r="B31" i="4"/>
  <c r="C20" i="4" l="1"/>
  <c r="I31" i="4"/>
  <c r="N31" i="4"/>
  <c r="C31" i="4"/>
  <c r="D31" i="4" l="1"/>
  <c r="O31" i="4"/>
  <c r="J31" i="4"/>
  <c r="E31" i="4" l="1"/>
  <c r="O32" i="4" l="1"/>
  <c r="O30" i="4" s="1"/>
  <c r="N32" i="4"/>
  <c r="N30" i="4" s="1"/>
  <c r="M32" i="4"/>
  <c r="M30" i="4" s="1"/>
  <c r="L32" i="4"/>
  <c r="L30" i="4" s="1"/>
  <c r="J32" i="4"/>
  <c r="J30" i="4" s="1"/>
  <c r="I32" i="4"/>
  <c r="I30" i="4" s="1"/>
  <c r="H32" i="4"/>
  <c r="H30" i="4" s="1"/>
  <c r="G32" i="4"/>
  <c r="G30" i="4" s="1"/>
  <c r="E32" i="4"/>
  <c r="E30" i="4" s="1"/>
  <c r="D32" i="4"/>
  <c r="D30" i="4" s="1"/>
  <c r="C32" i="4"/>
  <c r="C30" i="4" s="1"/>
  <c r="B32" i="4"/>
  <c r="B30" i="4" s="1"/>
  <c r="O27" i="4"/>
  <c r="O60" i="4" s="1"/>
  <c r="N27" i="4"/>
  <c r="N60" i="4" s="1"/>
  <c r="M27" i="4"/>
  <c r="M60" i="4" s="1"/>
  <c r="L27" i="4"/>
  <c r="L60" i="4" s="1"/>
  <c r="J27" i="4"/>
  <c r="J60" i="4" s="1"/>
  <c r="I27" i="4"/>
  <c r="I60" i="4" s="1"/>
  <c r="H27" i="4"/>
  <c r="H60" i="4" s="1"/>
  <c r="G27" i="4"/>
  <c r="G60" i="4" s="1"/>
  <c r="E27" i="4"/>
  <c r="E60" i="4" s="1"/>
  <c r="D27" i="4"/>
  <c r="D60" i="4" s="1"/>
  <c r="C27" i="4"/>
  <c r="C60" i="4" s="1"/>
  <c r="B27" i="4"/>
  <c r="B60" i="4" s="1"/>
  <c r="O26" i="4"/>
  <c r="O63" i="4" s="1"/>
  <c r="N26" i="4"/>
  <c r="N63" i="4" s="1"/>
  <c r="M26" i="4"/>
  <c r="M63" i="4" s="1"/>
  <c r="L26" i="4"/>
  <c r="L63" i="4" s="1"/>
  <c r="J26" i="4"/>
  <c r="J63" i="4" s="1"/>
  <c r="I26" i="4"/>
  <c r="I63" i="4" s="1"/>
  <c r="H26" i="4"/>
  <c r="H63" i="4" s="1"/>
  <c r="G26" i="4"/>
  <c r="G63" i="4" s="1"/>
  <c r="G46" i="4"/>
  <c r="P39" i="4"/>
  <c r="P38" i="4"/>
  <c r="P37" i="4"/>
  <c r="P36" i="4"/>
  <c r="P35" i="4"/>
  <c r="P34" i="4"/>
  <c r="P33" i="4"/>
  <c r="P31" i="4"/>
  <c r="K39" i="4"/>
  <c r="K38" i="4"/>
  <c r="K37" i="4"/>
  <c r="K36" i="4"/>
  <c r="K35" i="4"/>
  <c r="K34" i="4"/>
  <c r="K33" i="4"/>
  <c r="K31" i="4"/>
  <c r="F31" i="4"/>
  <c r="F33" i="4"/>
  <c r="F34" i="4"/>
  <c r="F35" i="4"/>
  <c r="F36" i="4"/>
  <c r="F37" i="4"/>
  <c r="F38" i="4"/>
  <c r="F39" i="4"/>
  <c r="E26" i="4"/>
  <c r="E63" i="4" s="1"/>
  <c r="D26" i="4"/>
  <c r="D63" i="4" s="1"/>
  <c r="C26" i="4"/>
  <c r="C63" i="4" s="1"/>
  <c r="L47" i="4"/>
  <c r="M47" i="4"/>
  <c r="N47" i="4"/>
  <c r="O47" i="4"/>
  <c r="L48" i="4"/>
  <c r="M48" i="4"/>
  <c r="N48" i="4"/>
  <c r="O48" i="4"/>
  <c r="L49" i="4"/>
  <c r="M49" i="4"/>
  <c r="N49" i="4"/>
  <c r="O49" i="4"/>
  <c r="L50" i="4"/>
  <c r="M50" i="4"/>
  <c r="N50" i="4"/>
  <c r="O50" i="4"/>
  <c r="O46" i="4"/>
  <c r="N46" i="4"/>
  <c r="M46" i="4"/>
  <c r="L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J46" i="4"/>
  <c r="I46" i="4"/>
  <c r="H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E46" i="4"/>
  <c r="D46" i="4"/>
  <c r="C46" i="4"/>
  <c r="B46" i="4"/>
  <c r="A47" i="4"/>
  <c r="A48" i="4"/>
  <c r="A49" i="4"/>
  <c r="A50" i="4"/>
  <c r="A46" i="4"/>
  <c r="B148" i="4" l="1"/>
  <c r="D31" i="5" s="1"/>
  <c r="B146" i="4"/>
  <c r="D29" i="5" s="1"/>
  <c r="B147" i="4"/>
  <c r="D30" i="5" s="1"/>
  <c r="B145" i="4"/>
  <c r="D28" i="5" s="1"/>
  <c r="D146" i="4"/>
  <c r="D148" i="4"/>
  <c r="D145" i="4"/>
  <c r="D147" i="4"/>
  <c r="F148" i="4"/>
  <c r="F146" i="4"/>
  <c r="F147" i="4"/>
  <c r="F145" i="4"/>
  <c r="H146" i="4"/>
  <c r="H148" i="4"/>
  <c r="H145" i="4"/>
  <c r="H147" i="4"/>
  <c r="J148" i="4"/>
  <c r="J146" i="4"/>
  <c r="J147" i="4"/>
  <c r="J145" i="4"/>
  <c r="L146" i="4"/>
  <c r="L148" i="4"/>
  <c r="L145" i="4"/>
  <c r="L147" i="4"/>
  <c r="C145" i="4"/>
  <c r="C147" i="4"/>
  <c r="C146" i="4"/>
  <c r="C148" i="4"/>
  <c r="E145" i="4"/>
  <c r="E147" i="4"/>
  <c r="E146" i="4"/>
  <c r="E148" i="4"/>
  <c r="G145" i="4"/>
  <c r="G147" i="4"/>
  <c r="G146" i="4"/>
  <c r="G148" i="4"/>
  <c r="I145" i="4"/>
  <c r="I147" i="4"/>
  <c r="I146" i="4"/>
  <c r="I148" i="4"/>
  <c r="K145" i="4"/>
  <c r="K147" i="4"/>
  <c r="K146" i="4"/>
  <c r="K148" i="4"/>
  <c r="M145" i="4"/>
  <c r="M147" i="4"/>
  <c r="M146" i="4"/>
  <c r="M148" i="4"/>
  <c r="B143" i="4"/>
  <c r="B150" i="4"/>
  <c r="D32" i="5" s="1"/>
  <c r="D143" i="4"/>
  <c r="D150" i="4"/>
  <c r="F143" i="4"/>
  <c r="F150" i="4"/>
  <c r="H143" i="4"/>
  <c r="H150" i="4"/>
  <c r="J143" i="4"/>
  <c r="J150" i="4"/>
  <c r="L143" i="4"/>
  <c r="L150" i="4"/>
  <c r="C143" i="4"/>
  <c r="C150" i="4"/>
  <c r="E143" i="4"/>
  <c r="E150" i="4"/>
  <c r="G150" i="4"/>
  <c r="G143" i="4"/>
  <c r="I150" i="4"/>
  <c r="I143" i="4"/>
  <c r="K150" i="4"/>
  <c r="K143" i="4"/>
  <c r="M150" i="4"/>
  <c r="M143" i="4"/>
  <c r="F30" i="4"/>
  <c r="P30" i="4"/>
  <c r="H28" i="4"/>
  <c r="H61" i="4" s="1"/>
  <c r="J28" i="4"/>
  <c r="J61" i="4" s="1"/>
  <c r="M28" i="4"/>
  <c r="M61" i="4" s="1"/>
  <c r="O28" i="4"/>
  <c r="O61" i="4" s="1"/>
  <c r="I28" i="4"/>
  <c r="I61" i="4" s="1"/>
  <c r="C28" i="4"/>
  <c r="C61" i="4" s="1"/>
  <c r="B28" i="4"/>
  <c r="B61" i="4" s="1"/>
  <c r="D28" i="4"/>
  <c r="D61" i="4" s="1"/>
  <c r="K30" i="4"/>
  <c r="Q39" i="4"/>
  <c r="Q37" i="4"/>
  <c r="Q35" i="4"/>
  <c r="Q34" i="4"/>
  <c r="Q36" i="4"/>
  <c r="Q38" i="4"/>
  <c r="Q33" i="4"/>
  <c r="Q31" i="4"/>
  <c r="F32" i="4"/>
  <c r="P26" i="4"/>
  <c r="K32" i="4"/>
  <c r="P27" i="4"/>
  <c r="K27" i="4"/>
  <c r="P32" i="4"/>
  <c r="F27" i="4"/>
  <c r="G28" i="4"/>
  <c r="G61" i="4" s="1"/>
  <c r="L28" i="4"/>
  <c r="L61" i="4" s="1"/>
  <c r="N28" i="4"/>
  <c r="N61" i="4" s="1"/>
  <c r="F26" i="4"/>
  <c r="E28" i="4"/>
  <c r="E61" i="4" s="1"/>
  <c r="K26" i="4"/>
  <c r="G51" i="4"/>
  <c r="F144" i="4" s="1"/>
  <c r="K50" i="4"/>
  <c r="F46" i="4"/>
  <c r="D51" i="4"/>
  <c r="D144" i="4" s="1"/>
  <c r="H51" i="4"/>
  <c r="G144" i="4" s="1"/>
  <c r="J51" i="4"/>
  <c r="I144" i="4" s="1"/>
  <c r="I51" i="4"/>
  <c r="H144" i="4" s="1"/>
  <c r="P49" i="4"/>
  <c r="K47" i="4"/>
  <c r="C51" i="4"/>
  <c r="C144" i="4" s="1"/>
  <c r="E51" i="4"/>
  <c r="E144" i="4" s="1"/>
  <c r="F50" i="4"/>
  <c r="F49" i="4"/>
  <c r="F48" i="4"/>
  <c r="F47" i="4"/>
  <c r="L51" i="4"/>
  <c r="J144" i="4" s="1"/>
  <c r="N51" i="4"/>
  <c r="L144" i="4" s="1"/>
  <c r="P50" i="4"/>
  <c r="P48" i="4"/>
  <c r="M51" i="4"/>
  <c r="K144" i="4" s="1"/>
  <c r="B51" i="4"/>
  <c r="B144" i="4" s="1"/>
  <c r="K46" i="4"/>
  <c r="P47" i="4"/>
  <c r="Q47" i="4" s="1"/>
  <c r="K49" i="4"/>
  <c r="K48" i="4"/>
  <c r="Q50" i="4"/>
  <c r="O51" i="4"/>
  <c r="M144" i="4" s="1"/>
  <c r="P46" i="4"/>
  <c r="P63" i="4"/>
  <c r="P60" i="4"/>
  <c r="K63" i="4"/>
  <c r="K60" i="4"/>
  <c r="F63" i="4"/>
  <c r="C78" i="3"/>
  <c r="D78" i="3" s="1"/>
  <c r="E78" i="3" s="1"/>
  <c r="F78" i="3" s="1"/>
  <c r="G78" i="3" s="1"/>
  <c r="H78" i="3" s="1"/>
  <c r="I78" i="3" s="1"/>
  <c r="J78" i="3" s="1"/>
  <c r="C77" i="3"/>
  <c r="D77" i="3" s="1"/>
  <c r="E77" i="3" s="1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C76" i="3"/>
  <c r="A78" i="3"/>
  <c r="A79" i="3"/>
  <c r="A77" i="3"/>
  <c r="A76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C130" i="3"/>
  <c r="B131" i="3"/>
  <c r="B132" i="3"/>
  <c r="B130" i="3"/>
  <c r="D26" i="5" l="1"/>
  <c r="D24" i="5"/>
  <c r="D20" i="5"/>
  <c r="Q30" i="4"/>
  <c r="E130" i="3"/>
  <c r="C131" i="3" s="1"/>
  <c r="D131" i="3" s="1"/>
  <c r="B91" i="4"/>
  <c r="D76" i="3"/>
  <c r="E76" i="3" s="1"/>
  <c r="F76" i="3" s="1"/>
  <c r="D130" i="3"/>
  <c r="F60" i="4"/>
  <c r="Q60" i="4" s="1"/>
  <c r="K28" i="4"/>
  <c r="F28" i="4"/>
  <c r="Q63" i="4"/>
  <c r="Q32" i="4"/>
  <c r="P28" i="4"/>
  <c r="Q27" i="4"/>
  <c r="Q49" i="4"/>
  <c r="K51" i="4"/>
  <c r="Q26" i="4"/>
  <c r="K78" i="3"/>
  <c r="L78" i="3" s="1"/>
  <c r="M78" i="3" s="1"/>
  <c r="N78" i="3" s="1"/>
  <c r="O78" i="3" s="1"/>
  <c r="P78" i="3" s="1"/>
  <c r="Q78" i="3" s="1"/>
  <c r="R78" i="3" s="1"/>
  <c r="S78" i="3" s="1"/>
  <c r="T78" i="3" s="1"/>
  <c r="U78" i="3" s="1"/>
  <c r="V78" i="3" s="1"/>
  <c r="W78" i="3" s="1"/>
  <c r="X78" i="3" s="1"/>
  <c r="Y78" i="3" s="1"/>
  <c r="Z78" i="3" s="1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Q46" i="4"/>
  <c r="Q48" i="4"/>
  <c r="F51" i="4"/>
  <c r="P51" i="4"/>
  <c r="P57" i="4"/>
  <c r="F57" i="4"/>
  <c r="K57" i="4"/>
  <c r="E131" i="3" l="1"/>
  <c r="B90" i="4"/>
  <c r="B29" i="4"/>
  <c r="B62" i="4" s="1"/>
  <c r="G76" i="3"/>
  <c r="H76" i="3" s="1"/>
  <c r="I76" i="3" s="1"/>
  <c r="K61" i="4"/>
  <c r="P61" i="4"/>
  <c r="Q28" i="4"/>
  <c r="F61" i="4"/>
  <c r="Q51" i="4"/>
  <c r="Q57" i="4"/>
  <c r="C132" i="3"/>
  <c r="D132" i="3" s="1"/>
  <c r="B93" i="4" l="1"/>
  <c r="Q61" i="4"/>
  <c r="J76" i="3"/>
  <c r="K76" i="3" s="1"/>
  <c r="L76" i="3" s="1"/>
  <c r="C29" i="4"/>
  <c r="C62" i="4" s="1"/>
  <c r="B40" i="4"/>
  <c r="B64" i="4" s="1"/>
  <c r="E132" i="3"/>
  <c r="C133" i="3" s="1"/>
  <c r="M76" i="3" l="1"/>
  <c r="N76" i="3" s="1"/>
  <c r="O76" i="3" s="1"/>
  <c r="D29" i="4"/>
  <c r="D62" i="4" s="1"/>
  <c r="B41" i="4"/>
  <c r="B133" i="3"/>
  <c r="E133" i="3" l="1"/>
  <c r="C134" i="3" s="1"/>
  <c r="P76" i="3"/>
  <c r="Q76" i="3" s="1"/>
  <c r="R76" i="3" s="1"/>
  <c r="E29" i="4"/>
  <c r="E62" i="4" s="1"/>
  <c r="B59" i="4"/>
  <c r="B78" i="4" s="1"/>
  <c r="B134" i="3"/>
  <c r="G29" i="4" l="1"/>
  <c r="G62" i="4" s="1"/>
  <c r="F29" i="4"/>
  <c r="F62" i="4"/>
  <c r="S76" i="3"/>
  <c r="T76" i="3" s="1"/>
  <c r="U76" i="3" s="1"/>
  <c r="B66" i="4"/>
  <c r="E134" i="3"/>
  <c r="V76" i="3" l="1"/>
  <c r="W76" i="3" s="1"/>
  <c r="X76" i="3" s="1"/>
  <c r="H29" i="4"/>
  <c r="H62" i="4" s="1"/>
  <c r="B67" i="4"/>
  <c r="C135" i="3"/>
  <c r="B79" i="4" l="1"/>
  <c r="B142" i="4"/>
  <c r="B77" i="4"/>
  <c r="Y76" i="3"/>
  <c r="Z76" i="3" s="1"/>
  <c r="AA76" i="3" s="1"/>
  <c r="I29" i="4"/>
  <c r="I62" i="4" s="1"/>
  <c r="B135" i="3"/>
  <c r="C91" i="4" s="1"/>
  <c r="C40" i="4"/>
  <c r="C64" i="4" s="1"/>
  <c r="B68" i="4"/>
  <c r="B140" i="4" s="1"/>
  <c r="D10" i="5" s="1"/>
  <c r="D22" i="5" l="1"/>
  <c r="D19" i="5"/>
  <c r="D23" i="5"/>
  <c r="B141" i="4"/>
  <c r="C90" i="4"/>
  <c r="B80" i="4"/>
  <c r="B104" i="4" s="1"/>
  <c r="E135" i="3"/>
  <c r="C136" i="3" s="1"/>
  <c r="B136" i="3" s="1"/>
  <c r="AB76" i="3"/>
  <c r="AC76" i="3" s="1"/>
  <c r="AD76" i="3" s="1"/>
  <c r="J29" i="4"/>
  <c r="C41" i="4"/>
  <c r="B310" i="4" l="1"/>
  <c r="B105" i="4"/>
  <c r="L29" i="4"/>
  <c r="L62" i="4" s="1"/>
  <c r="E136" i="3"/>
  <c r="C137" i="3" s="1"/>
  <c r="B137" i="3" s="1"/>
  <c r="E137" i="3" s="1"/>
  <c r="C138" i="3" s="1"/>
  <c r="D40" i="4" s="1"/>
  <c r="D64" i="4" s="1"/>
  <c r="B94" i="4"/>
  <c r="C93" i="4"/>
  <c r="J62" i="4"/>
  <c r="K62" i="4" s="1"/>
  <c r="K29" i="4"/>
  <c r="AE76" i="3"/>
  <c r="AF76" i="3" s="1"/>
  <c r="AG76" i="3" s="1"/>
  <c r="C59" i="4"/>
  <c r="C78" i="4" s="1"/>
  <c r="B106" i="4" l="1"/>
  <c r="C308" i="4" s="1"/>
  <c r="B109" i="4"/>
  <c r="B96" i="4"/>
  <c r="B85" i="3" s="1"/>
  <c r="B97" i="4"/>
  <c r="M29" i="4"/>
  <c r="M62" i="4" s="1"/>
  <c r="AH76" i="3"/>
  <c r="AI76" i="3" s="1"/>
  <c r="AJ76" i="3" s="1"/>
  <c r="D41" i="4"/>
  <c r="C66" i="4"/>
  <c r="B138" i="3"/>
  <c r="E138" i="3" s="1"/>
  <c r="C139" i="3" s="1"/>
  <c r="B86" i="3" l="1"/>
  <c r="D91" i="4"/>
  <c r="C95" i="4"/>
  <c r="N29" i="4"/>
  <c r="N62" i="4" s="1"/>
  <c r="AK76" i="3"/>
  <c r="AL76" i="3" s="1"/>
  <c r="C67" i="4"/>
  <c r="D59" i="4"/>
  <c r="D78" i="4" s="1"/>
  <c r="B139" i="3"/>
  <c r="C79" i="4" l="1"/>
  <c r="C77" i="4" s="1"/>
  <c r="C142" i="4"/>
  <c r="C141" i="4" s="1"/>
  <c r="E139" i="3"/>
  <c r="C140" i="3" s="1"/>
  <c r="B140" i="3" s="1"/>
  <c r="D90" i="4"/>
  <c r="O29" i="4"/>
  <c r="O62" i="4" s="1"/>
  <c r="P62" i="4" s="1"/>
  <c r="Q62" i="4" s="1"/>
  <c r="C68" i="4"/>
  <c r="C140" i="4" s="1"/>
  <c r="D66" i="4"/>
  <c r="P29" i="4" l="1"/>
  <c r="Q29" i="4" s="1"/>
  <c r="E140" i="3"/>
  <c r="C141" i="3" s="1"/>
  <c r="E40" i="4" s="1"/>
  <c r="E64" i="4" s="1"/>
  <c r="D93" i="4"/>
  <c r="C80" i="4"/>
  <c r="C104" i="4" s="1"/>
  <c r="D67" i="4"/>
  <c r="D79" i="4" l="1"/>
  <c r="D77" i="4" s="1"/>
  <c r="D142" i="4"/>
  <c r="D141" i="4" s="1"/>
  <c r="C310" i="4"/>
  <c r="C105" i="4"/>
  <c r="E41" i="4"/>
  <c r="F41" i="4" s="1"/>
  <c r="C94" i="4"/>
  <c r="B141" i="3"/>
  <c r="F40" i="4"/>
  <c r="D68" i="4"/>
  <c r="D140" i="4" s="1"/>
  <c r="E59" i="4"/>
  <c r="E78" i="4" s="1"/>
  <c r="F64" i="4"/>
  <c r="C106" i="4" l="1"/>
  <c r="D308" i="4" s="1"/>
  <c r="C109" i="4"/>
  <c r="C97" i="4"/>
  <c r="C96" i="4"/>
  <c r="C85" i="3" s="1"/>
  <c r="D80" i="4"/>
  <c r="D104" i="4" s="1"/>
  <c r="E141" i="3"/>
  <c r="C142" i="3" s="1"/>
  <c r="B142" i="3" s="1"/>
  <c r="E91" i="4"/>
  <c r="E66" i="4"/>
  <c r="F59" i="4"/>
  <c r="D310" i="4" l="1"/>
  <c r="D105" i="4"/>
  <c r="C86" i="3"/>
  <c r="E90" i="4"/>
  <c r="D95" i="4"/>
  <c r="E142" i="3"/>
  <c r="C143" i="3" s="1"/>
  <c r="B143" i="3" s="1"/>
  <c r="D94" i="4"/>
  <c r="D97" i="4" s="1"/>
  <c r="E67" i="4"/>
  <c r="F66" i="4"/>
  <c r="E79" i="4" l="1"/>
  <c r="E77" i="4" s="1"/>
  <c r="E142" i="4"/>
  <c r="E141" i="4" s="1"/>
  <c r="D106" i="4"/>
  <c r="E308" i="4" s="1"/>
  <c r="D109" i="4"/>
  <c r="E143" i="3"/>
  <c r="C144" i="3" s="1"/>
  <c r="B144" i="3" s="1"/>
  <c r="E144" i="3" s="1"/>
  <c r="C145" i="3" s="1"/>
  <c r="B145" i="3" s="1"/>
  <c r="D96" i="4"/>
  <c r="E93" i="4"/>
  <c r="E68" i="4"/>
  <c r="F67" i="4"/>
  <c r="D85" i="3" l="1"/>
  <c r="D86" i="3"/>
  <c r="F68" i="4"/>
  <c r="E140" i="4"/>
  <c r="E145" i="3"/>
  <c r="C146" i="3" s="1"/>
  <c r="B146" i="3" s="1"/>
  <c r="E146" i="3" s="1"/>
  <c r="C147" i="3" s="1"/>
  <c r="H40" i="4" s="1"/>
  <c r="H64" i="4" s="1"/>
  <c r="E95" i="4"/>
  <c r="E80" i="4"/>
  <c r="E104" i="4" s="1"/>
  <c r="G40" i="4"/>
  <c r="G64" i="4" s="1"/>
  <c r="F91" i="4"/>
  <c r="E310" i="4" l="1"/>
  <c r="E105" i="4"/>
  <c r="F90" i="4"/>
  <c r="G41" i="4"/>
  <c r="E94" i="4"/>
  <c r="H59" i="4"/>
  <c r="H41" i="4"/>
  <c r="G59" i="4"/>
  <c r="F78" i="4" s="1"/>
  <c r="B147" i="3"/>
  <c r="E147" i="3" s="1"/>
  <c r="C148" i="3" s="1"/>
  <c r="E106" i="4" l="1"/>
  <c r="F308" i="4" s="1"/>
  <c r="E109" i="4"/>
  <c r="G91" i="4"/>
  <c r="G90" i="4" s="1"/>
  <c r="G93" i="4" s="1"/>
  <c r="E97" i="4"/>
  <c r="F93" i="4"/>
  <c r="E96" i="4"/>
  <c r="E85" i="3" s="1"/>
  <c r="H66" i="4"/>
  <c r="H67" i="4" s="1"/>
  <c r="G142" i="4" s="1"/>
  <c r="G141" i="4" s="1"/>
  <c r="G78" i="4"/>
  <c r="G66" i="4"/>
  <c r="B148" i="3"/>
  <c r="E86" i="3" l="1"/>
  <c r="E148" i="3"/>
  <c r="C149" i="3" s="1"/>
  <c r="B149" i="3" s="1"/>
  <c r="F95" i="4"/>
  <c r="H68" i="4"/>
  <c r="G140" i="4" s="1"/>
  <c r="G79" i="4"/>
  <c r="G77" i="4" s="1"/>
  <c r="G80" i="4" s="1"/>
  <c r="G67" i="4"/>
  <c r="F79" i="4" l="1"/>
  <c r="F77" i="4" s="1"/>
  <c r="F142" i="4"/>
  <c r="F141" i="4" s="1"/>
  <c r="G94" i="4"/>
  <c r="G104" i="4"/>
  <c r="E149" i="3"/>
  <c r="C150" i="3" s="1"/>
  <c r="I40" i="4" s="1"/>
  <c r="I64" i="4" s="1"/>
  <c r="G68" i="4"/>
  <c r="F140" i="4" s="1"/>
  <c r="G105" i="4" l="1"/>
  <c r="G109" i="4" s="1"/>
  <c r="G310" i="4"/>
  <c r="F80" i="4"/>
  <c r="B150" i="3"/>
  <c r="I41" i="4"/>
  <c r="I59" i="4"/>
  <c r="H78" i="4" s="1"/>
  <c r="F94" i="4" l="1"/>
  <c r="F96" i="4" s="1"/>
  <c r="F85" i="3" s="1"/>
  <c r="F104" i="4"/>
  <c r="E150" i="3"/>
  <c r="C151" i="3" s="1"/>
  <c r="B151" i="3" s="1"/>
  <c r="H91" i="4"/>
  <c r="H90" i="4" s="1"/>
  <c r="H93" i="4" s="1"/>
  <c r="I66" i="4"/>
  <c r="F97" i="4" l="1"/>
  <c r="G97" i="4" s="1"/>
  <c r="F310" i="4"/>
  <c r="F105" i="4"/>
  <c r="F86" i="3"/>
  <c r="E151" i="3"/>
  <c r="C152" i="3" s="1"/>
  <c r="B152" i="3" s="1"/>
  <c r="E152" i="3" s="1"/>
  <c r="C153" i="3" s="1"/>
  <c r="J40" i="4" s="1"/>
  <c r="J64" i="4" s="1"/>
  <c r="G95" i="4"/>
  <c r="G96" i="4" s="1"/>
  <c r="G85" i="3" s="1"/>
  <c r="I67" i="4"/>
  <c r="H79" i="4" l="1"/>
  <c r="H77" i="4" s="1"/>
  <c r="H80" i="4" s="1"/>
  <c r="H104" i="4" s="1"/>
  <c r="H142" i="4"/>
  <c r="H141" i="4" s="1"/>
  <c r="F106" i="4"/>
  <c r="F109" i="4"/>
  <c r="H94" i="4"/>
  <c r="H97" i="4" s="1"/>
  <c r="G86" i="3"/>
  <c r="J41" i="4"/>
  <c r="K41" i="4" s="1"/>
  <c r="B153" i="3"/>
  <c r="E153" i="3" s="1"/>
  <c r="C154" i="3" s="1"/>
  <c r="K40" i="4"/>
  <c r="I91" i="4"/>
  <c r="I90" i="4" s="1"/>
  <c r="I93" i="4" s="1"/>
  <c r="H95" i="4"/>
  <c r="I68" i="4"/>
  <c r="H140" i="4" s="1"/>
  <c r="J59" i="4"/>
  <c r="I78" i="4" s="1"/>
  <c r="K64" i="4"/>
  <c r="D166" i="3"/>
  <c r="G106" i="4" l="1"/>
  <c r="H308" i="4" s="1"/>
  <c r="G308" i="4"/>
  <c r="H105" i="4"/>
  <c r="H109" i="4" s="1"/>
  <c r="H310" i="4"/>
  <c r="H96" i="4"/>
  <c r="H85" i="3" s="1"/>
  <c r="J66" i="4"/>
  <c r="K59" i="4"/>
  <c r="B154" i="3"/>
  <c r="H106" i="4" l="1"/>
  <c r="I308" i="4" s="1"/>
  <c r="I95" i="4"/>
  <c r="H86" i="3"/>
  <c r="E154" i="3"/>
  <c r="C155" i="3" s="1"/>
  <c r="B155" i="3" s="1"/>
  <c r="E155" i="3" s="1"/>
  <c r="C156" i="3" s="1"/>
  <c r="L40" i="4" s="1"/>
  <c r="L64" i="4" s="1"/>
  <c r="J67" i="4"/>
  <c r="K66" i="4"/>
  <c r="I79" i="4" l="1"/>
  <c r="I77" i="4" s="1"/>
  <c r="I80" i="4" s="1"/>
  <c r="I104" i="4" s="1"/>
  <c r="I142" i="4"/>
  <c r="I141" i="4" s="1"/>
  <c r="I94" i="4"/>
  <c r="I97" i="4" s="1"/>
  <c r="L41" i="4"/>
  <c r="J68" i="4"/>
  <c r="K67" i="4"/>
  <c r="B156" i="3"/>
  <c r="E156" i="3" s="1"/>
  <c r="C157" i="3" s="1"/>
  <c r="I96" i="4" l="1"/>
  <c r="I85" i="3" s="1"/>
  <c r="K68" i="4"/>
  <c r="I140" i="4"/>
  <c r="I105" i="4"/>
  <c r="I109" i="4" s="1"/>
  <c r="I310" i="4"/>
  <c r="J91" i="4"/>
  <c r="J90" i="4" s="1"/>
  <c r="J93" i="4" s="1"/>
  <c r="L59" i="4"/>
  <c r="J78" i="4" s="1"/>
  <c r="B157" i="3"/>
  <c r="I86" i="3" l="1"/>
  <c r="I106" i="4"/>
  <c r="J308" i="4" s="1"/>
  <c r="J95" i="4"/>
  <c r="E157" i="3"/>
  <c r="C158" i="3" s="1"/>
  <c r="B158" i="3" s="1"/>
  <c r="E158" i="3" s="1"/>
  <c r="C159" i="3" s="1"/>
  <c r="M40" i="4" s="1"/>
  <c r="M64" i="4" s="1"/>
  <c r="L66" i="4"/>
  <c r="M41" i="4" l="1"/>
  <c r="L67" i="4"/>
  <c r="B159" i="3"/>
  <c r="E159" i="3" s="1"/>
  <c r="C160" i="3" s="1"/>
  <c r="J79" i="4" l="1"/>
  <c r="J77" i="4" s="1"/>
  <c r="J80" i="4" s="1"/>
  <c r="J104" i="4" s="1"/>
  <c r="J142" i="4"/>
  <c r="J141" i="4" s="1"/>
  <c r="J94" i="4"/>
  <c r="J96" i="4" s="1"/>
  <c r="J85" i="3" s="1"/>
  <c r="K91" i="4"/>
  <c r="K90" i="4" s="1"/>
  <c r="K93" i="4" s="1"/>
  <c r="L68" i="4"/>
  <c r="J140" i="4" s="1"/>
  <c r="M59" i="4"/>
  <c r="K78" i="4" s="1"/>
  <c r="B160" i="3"/>
  <c r="J97" i="4" l="1"/>
  <c r="J105" i="4"/>
  <c r="J109" i="4" s="1"/>
  <c r="J310" i="4"/>
  <c r="J86" i="3"/>
  <c r="E160" i="3"/>
  <c r="C161" i="3" s="1"/>
  <c r="B161" i="3" s="1"/>
  <c r="E161" i="3" s="1"/>
  <c r="C162" i="3" s="1"/>
  <c r="N40" i="4" s="1"/>
  <c r="N64" i="4" s="1"/>
  <c r="K95" i="4"/>
  <c r="M66" i="4"/>
  <c r="A13" i="3"/>
  <c r="A14" i="3"/>
  <c r="A15" i="3"/>
  <c r="A16" i="3"/>
  <c r="A12" i="3"/>
  <c r="J106" i="4" l="1"/>
  <c r="K308" i="4" s="1"/>
  <c r="N41" i="4"/>
  <c r="M67" i="4"/>
  <c r="B162" i="3"/>
  <c r="E162" i="3" s="1"/>
  <c r="C163" i="3" s="1"/>
  <c r="K79" i="4" l="1"/>
  <c r="K77" i="4" s="1"/>
  <c r="K80" i="4" s="1"/>
  <c r="K104" i="4" s="1"/>
  <c r="K142" i="4"/>
  <c r="K141" i="4" s="1"/>
  <c r="K94" i="4"/>
  <c r="K97" i="4" s="1"/>
  <c r="L91" i="4"/>
  <c r="L90" i="4" s="1"/>
  <c r="L93" i="4" s="1"/>
  <c r="M68" i="4"/>
  <c r="K140" i="4" s="1"/>
  <c r="N59" i="4"/>
  <c r="L78" i="4" s="1"/>
  <c r="B163" i="3"/>
  <c r="K96" i="4" l="1"/>
  <c r="K85" i="3" s="1"/>
  <c r="K105" i="4"/>
  <c r="K109" i="4" s="1"/>
  <c r="K310" i="4"/>
  <c r="E163" i="3"/>
  <c r="C164" i="3" s="1"/>
  <c r="B164" i="3" s="1"/>
  <c r="N66" i="4"/>
  <c r="L95" i="4" l="1"/>
  <c r="K86" i="3"/>
  <c r="K106" i="4"/>
  <c r="L308" i="4" s="1"/>
  <c r="N67" i="4"/>
  <c r="E164" i="3"/>
  <c r="C165" i="3" s="1"/>
  <c r="O40" i="4" s="1"/>
  <c r="O64" i="4" s="1"/>
  <c r="L79" i="4" l="1"/>
  <c r="L77" i="4" s="1"/>
  <c r="L80" i="4" s="1"/>
  <c r="L104" i="4" s="1"/>
  <c r="L142" i="4"/>
  <c r="L141" i="4" s="1"/>
  <c r="L94" i="4"/>
  <c r="L97" i="4" s="1"/>
  <c r="O41" i="4"/>
  <c r="P41" i="4" s="1"/>
  <c r="Q41" i="4" s="1"/>
  <c r="P40" i="4"/>
  <c r="Q40" i="4" s="1"/>
  <c r="N68" i="4"/>
  <c r="L140" i="4" s="1"/>
  <c r="B165" i="3"/>
  <c r="M91" i="4" s="1"/>
  <c r="C166" i="3"/>
  <c r="L96" i="4" l="1"/>
  <c r="L85" i="3" s="1"/>
  <c r="L105" i="4"/>
  <c r="L109" i="4" s="1"/>
  <c r="L310" i="4"/>
  <c r="L86" i="3"/>
  <c r="M90" i="4"/>
  <c r="N91" i="4"/>
  <c r="O59" i="4"/>
  <c r="M78" i="4" s="1"/>
  <c r="N78" i="4" s="1"/>
  <c r="P64" i="4"/>
  <c r="Q64" i="4" s="1"/>
  <c r="B166" i="3"/>
  <c r="E165" i="3"/>
  <c r="L106" i="4" l="1"/>
  <c r="M308" i="4" s="1"/>
  <c r="M95" i="4"/>
  <c r="M93" i="4"/>
  <c r="N90" i="4"/>
  <c r="O66" i="4"/>
  <c r="P59" i="4"/>
  <c r="Q59" i="4" s="1"/>
  <c r="N93" i="4" l="1"/>
  <c r="O67" i="4"/>
  <c r="P66" i="4"/>
  <c r="Q66" i="4" s="1"/>
  <c r="M79" i="4" l="1"/>
  <c r="N79" i="4" s="1"/>
  <c r="M142" i="4"/>
  <c r="M141" i="4" s="1"/>
  <c r="O68" i="4"/>
  <c r="P67" i="4"/>
  <c r="Q67" i="4" s="1"/>
  <c r="M77" i="4" l="1"/>
  <c r="M80" i="4" s="1"/>
  <c r="M104" i="4" s="1"/>
  <c r="P68" i="4"/>
  <c r="Q68" i="4" s="1"/>
  <c r="M140" i="4"/>
  <c r="N77" i="4" l="1"/>
  <c r="M310" i="4"/>
  <c r="B115" i="4" s="1"/>
  <c r="B112" i="4"/>
  <c r="B114" i="4" s="1"/>
  <c r="M105" i="4"/>
  <c r="N80" i="4"/>
  <c r="M94" i="4"/>
  <c r="M106" i="4" l="1"/>
  <c r="N308" i="4" s="1"/>
  <c r="M109" i="4"/>
  <c r="B111" i="4" s="1"/>
  <c r="B113" i="4"/>
  <c r="N94" i="4"/>
  <c r="M97" i="4"/>
  <c r="M96" i="4"/>
  <c r="M85" i="3" s="1"/>
  <c r="M86" i="3" l="1"/>
  <c r="N96" i="4"/>
</calcChain>
</file>

<file path=xl/sharedStrings.xml><?xml version="1.0" encoding="utf-8"?>
<sst xmlns="http://schemas.openxmlformats.org/spreadsheetml/2006/main" count="605" uniqueCount="311">
  <si>
    <t>Базовая ставка арендной платы (1м2)</t>
  </si>
  <si>
    <t>Аб</t>
  </si>
  <si>
    <t>Действующая годовая ставка земельного налога</t>
  </si>
  <si>
    <t>Аз</t>
  </si>
  <si>
    <t>Коэффициент престижности места расположения</t>
  </si>
  <si>
    <t>К2</t>
  </si>
  <si>
    <t>Коэффициент расположения помещения внутри здания</t>
  </si>
  <si>
    <t>К3</t>
  </si>
  <si>
    <t>Коэффициент технического обустройства помещения</t>
  </si>
  <si>
    <t>К4</t>
  </si>
  <si>
    <t>Коэффициент сезонности работы объекта</t>
  </si>
  <si>
    <t>К5</t>
  </si>
  <si>
    <t>Коэффициент резервирования</t>
  </si>
  <si>
    <t>К6</t>
  </si>
  <si>
    <t>Коэффициент почасового использования помещения</t>
  </si>
  <si>
    <t>К7</t>
  </si>
  <si>
    <t>прогноз инфляции годовой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</si>
  <si>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</si>
  <si>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</si>
  <si>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</si>
  <si>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</si>
  <si>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</si>
  <si>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</si>
  <si>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</si>
  <si>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</si>
  <si>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</si>
  <si>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</si>
  <si>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</si>
  <si>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</si>
  <si>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 год</t>
  </si>
  <si>
    <t>2 год</t>
  </si>
  <si>
    <t>3 год</t>
  </si>
  <si>
    <t>товар/услуга 1</t>
  </si>
  <si>
    <t>товар/услуга 2</t>
  </si>
  <si>
    <t>товар/услуга 3</t>
  </si>
  <si>
    <t>Прогноз создания рабочих мест</t>
  </si>
  <si>
    <t>уровень индексации оплаты труда, ежегодный, %</t>
  </si>
  <si>
    <t>количество работающих сотрудников</t>
  </si>
  <si>
    <t>Директор</t>
  </si>
  <si>
    <t>Бухгалтер</t>
  </si>
  <si>
    <t>Менеджер</t>
  </si>
  <si>
    <t>Инженер</t>
  </si>
  <si>
    <t>должность 1</t>
  </si>
  <si>
    <t>должность 2</t>
  </si>
  <si>
    <t>Данные для расчета ежегодной арендной платы</t>
  </si>
  <si>
    <t>система налогообложения</t>
  </si>
  <si>
    <t>ОСНО (20% от прибыли)</t>
  </si>
  <si>
    <t>УСНО (6% от дохода)</t>
  </si>
  <si>
    <t>УСНО (15% от прибыли)</t>
  </si>
  <si>
    <t>ВЫБОР НАЛОГООБЛОЖЕНИЯ</t>
  </si>
  <si>
    <t>Оборудование 1</t>
  </si>
  <si>
    <t>Оборудование 2</t>
  </si>
  <si>
    <t>Оборудование 3</t>
  </si>
  <si>
    <t>Удельные материальные затраты на 1 ед. продукции/услуг, руб.</t>
  </si>
  <si>
    <t>Цена в 1 год реализации, руб.</t>
  </si>
  <si>
    <t>товар/услуга 4</t>
  </si>
  <si>
    <t>товар/услуга 5</t>
  </si>
  <si>
    <t>ВИДЫ ДЕЯТЕЛЬНОСТИ</t>
  </si>
  <si>
    <t>Образование</t>
  </si>
  <si>
    <t>Полиграфическая д-ть</t>
  </si>
  <si>
    <t>Научная д-ть, IT</t>
  </si>
  <si>
    <t>Производство</t>
  </si>
  <si>
    <t>Иное</t>
  </si>
  <si>
    <t>Вид экономической деятельности по проекту</t>
  </si>
  <si>
    <t>Интернет и телефония</t>
  </si>
  <si>
    <t>Банковское обслуживание</t>
  </si>
  <si>
    <t>Обеспечение работы офиса (канцелярские товары, вода/чай/кофе, прочее)</t>
  </si>
  <si>
    <t>Оплата услуг сторонних организаций (разработка, логистика, консалтинг)</t>
  </si>
  <si>
    <t>Почтовые расходы</t>
  </si>
  <si>
    <t>Материальные затраты</t>
  </si>
  <si>
    <t>Отчисления во внебюджетные фонды</t>
  </si>
  <si>
    <t>Аренда офиса в Инкубаторе</t>
  </si>
  <si>
    <t>Аренда производственных помещений</t>
  </si>
  <si>
    <t>Прогноз объемов производства товаров/услуг, в нат. Показателях</t>
  </si>
  <si>
    <t>Потребность в кредите для старта проекта</t>
  </si>
  <si>
    <t>сумма кредита, руб.</t>
  </si>
  <si>
    <t>срок кредита, мес.</t>
  </si>
  <si>
    <t>процентная ставка годовых, %</t>
  </si>
  <si>
    <t>Привлечение собственного капитала для старта проекта</t>
  </si>
  <si>
    <t>Сумма вложений инвестора, руб.</t>
  </si>
  <si>
    <t>Расходы на рекламу и продвижение</t>
  </si>
  <si>
    <t>ВНЕБЮДЖЕТНЫЕ ФОНДЫ</t>
  </si>
  <si>
    <t>ПФ страховая часть</t>
  </si>
  <si>
    <t>ФФОМС</t>
  </si>
  <si>
    <t>ФСС</t>
  </si>
  <si>
    <t>ФСС от несчастных случаев на производстве</t>
  </si>
  <si>
    <t>Номер заявляемого лота</t>
  </si>
  <si>
    <t>Этажность корпуса Инкубатора, где арендуется офис</t>
  </si>
  <si>
    <t>Этажность корпуса</t>
  </si>
  <si>
    <t>Общая площадь офиса, кв.м</t>
  </si>
  <si>
    <t>Вспомогательная площадь, кв.м</t>
  </si>
  <si>
    <t>отсрочка по выплате основной суммы долга, мес.</t>
  </si>
  <si>
    <t>АННУИТЕТНЫЙ ПЛАТЕЖ</t>
  </si>
  <si>
    <t>месяц</t>
  </si>
  <si>
    <t>тело долга</t>
  </si>
  <si>
    <t>проценты по долгу</t>
  </si>
  <si>
    <t>сумма платежа</t>
  </si>
  <si>
    <t>остаток долга</t>
  </si>
  <si>
    <t>ВСЕГО ЗА ПЕРИОД</t>
  </si>
  <si>
    <t>Затраты всего, в т.ч.</t>
  </si>
  <si>
    <t>зарплата персонала</t>
  </si>
  <si>
    <t>отчисления во внебюджетные фонды</t>
  </si>
  <si>
    <t>амортизационные отчисления</t>
  </si>
  <si>
    <t>материалы и комплектующие</t>
  </si>
  <si>
    <t>прочие затраты</t>
  </si>
  <si>
    <t>Прибыль до налогообложения</t>
  </si>
  <si>
    <t>Налог на прибыль</t>
  </si>
  <si>
    <t>Чистая прибыль</t>
  </si>
  <si>
    <t>1 кв-л</t>
  </si>
  <si>
    <t>2 кв-л</t>
  </si>
  <si>
    <t>3 кв-л</t>
  </si>
  <si>
    <t>4 кв-л</t>
  </si>
  <si>
    <t xml:space="preserve">1 год </t>
  </si>
  <si>
    <t>ИТОГО 1 год</t>
  </si>
  <si>
    <t xml:space="preserve">2 год </t>
  </si>
  <si>
    <t xml:space="preserve">3 год </t>
  </si>
  <si>
    <t>ИТОГО 2 год</t>
  </si>
  <si>
    <t>ИТОГО 3 год</t>
  </si>
  <si>
    <t>ВСЕГО за 3 года</t>
  </si>
  <si>
    <t>Выручка от продаж</t>
  </si>
  <si>
    <t>Амортизационные отчисления</t>
  </si>
  <si>
    <t>срок амортизации, лет</t>
  </si>
  <si>
    <t>РАСЧЕТ АМОРТИЗАЦИИ</t>
  </si>
  <si>
    <t>операционная деятельность</t>
  </si>
  <si>
    <t>денежный приток:</t>
  </si>
  <si>
    <t>денежный отток:</t>
  </si>
  <si>
    <t>налоги</t>
  </si>
  <si>
    <t>Сальдо операционных потоков</t>
  </si>
  <si>
    <t xml:space="preserve">инвестиционная деятельность </t>
  </si>
  <si>
    <t>капитальные вложения</t>
  </si>
  <si>
    <t>Сальдо инвестиционных потоков</t>
  </si>
  <si>
    <t>финансовая деятельность</t>
  </si>
  <si>
    <t>Сальдо финансовых потоков</t>
  </si>
  <si>
    <t>ИТОГО САЛЬДО ДЕНЕЖНЫХ ПОТОКОВ</t>
  </si>
  <si>
    <t>средства на начало периода</t>
  </si>
  <si>
    <t>средства на конец периода</t>
  </si>
  <si>
    <t>Сальдо денежных потоков нарастающим итогом</t>
  </si>
  <si>
    <t>Показатель</t>
  </si>
  <si>
    <t>Номенклатура производимой продукции/услуг</t>
  </si>
  <si>
    <t>ИТОГО</t>
  </si>
  <si>
    <t>Номенклатура затрат</t>
  </si>
  <si>
    <t>Прогноз прочих текущих затрат, руб.</t>
  </si>
  <si>
    <t>Затраты на оплату труда</t>
  </si>
  <si>
    <t>Арендные платежи, в т.ч.:</t>
  </si>
  <si>
    <t>ИТОГО ЗАТРАТЫ</t>
  </si>
  <si>
    <t>Проценты по кредиту</t>
  </si>
  <si>
    <t>Наименование лота по Заявке</t>
  </si>
  <si>
    <t>в том числе вспомогательная площадь</t>
  </si>
  <si>
    <t>Апл = {(Аб + Аз/n) x К1 x К2 x К3 x К4 x К5 x К6 x К7} x (Sосн. + 1/2 Sвсп.)</t>
  </si>
  <si>
    <t>Этажность здания</t>
  </si>
  <si>
    <t>n</t>
  </si>
  <si>
    <t>Коэффициент вида деятельности в арендуемом помещении</t>
  </si>
  <si>
    <t>К1</t>
  </si>
  <si>
    <t>Арендуемая площадь по техническому паспорту</t>
  </si>
  <si>
    <t>S</t>
  </si>
  <si>
    <t>S всп</t>
  </si>
  <si>
    <t>Размер ежемесячной арендной платы</t>
  </si>
  <si>
    <t>Первый год</t>
  </si>
  <si>
    <t>Второй год</t>
  </si>
  <si>
    <t>Третий год</t>
  </si>
  <si>
    <t>Итого за 3 года, руб.</t>
  </si>
  <si>
    <t>Показатели</t>
  </si>
  <si>
    <t>выручка от продаж</t>
  </si>
  <si>
    <t>текущие затраты</t>
  </si>
  <si>
    <t>Кредит</t>
  </si>
  <si>
    <t>Возврат кредитных средств</t>
  </si>
  <si>
    <t>Займ учредителя</t>
  </si>
  <si>
    <t>Возврат займов учредителя</t>
  </si>
  <si>
    <t>наличие кассового разрыва</t>
  </si>
  <si>
    <t>Прогноз инвестиций (инвестиционные затраты, руб.)</t>
  </si>
  <si>
    <t>Прогноз получения проектом займов учредителя для покрытия кассовых разрывов, руб.</t>
  </si>
  <si>
    <t>Квартальная ставка дисконтирования</t>
  </si>
  <si>
    <t>Коэффициент дисконтирования</t>
  </si>
  <si>
    <t>сумма остатка на счетах на конец периода, тыс. руб.</t>
  </si>
  <si>
    <t>Получение беспроцентного займа учредителя, руб.</t>
  </si>
  <si>
    <t>Возврат беспроцентного займа учредителя, руб.</t>
  </si>
  <si>
    <t>Ключевая ставка ЦБ РФ</t>
  </si>
  <si>
    <t xml:space="preserve">Средневзвешенная стоимость капитала WACC = </t>
  </si>
  <si>
    <t xml:space="preserve">Чистая приведенная стоимость капитала NPV = </t>
  </si>
  <si>
    <t xml:space="preserve">Внутренняя норма рентабельности IRR = </t>
  </si>
  <si>
    <t xml:space="preserve">Простая бухгалтерская норма рентабельности ARR = </t>
  </si>
  <si>
    <t>Период окупаемости проекта PBP =</t>
  </si>
  <si>
    <t>Дисконтированный период окупаемости проекта DPBP =</t>
  </si>
  <si>
    <t>Дисконтированный денежный поток, тыс. руб.</t>
  </si>
  <si>
    <t>Денежный поток инвестиционной деятельности, тыс. руб.</t>
  </si>
  <si>
    <t>Денежный поток операционной деятельности, тыс. руб.</t>
  </si>
  <si>
    <t>Совокупный денежный поток, тыс. руб.</t>
  </si>
  <si>
    <t>Денежный поток нарастающим итогом, тыс. руб.</t>
  </si>
  <si>
    <t>Дисконтированный денежный поток инвестиционной деятельности, тыс. руб.</t>
  </si>
  <si>
    <t>Дисконтированный денежный поток операционной деятельности, тыс. руб.</t>
  </si>
  <si>
    <t>Номенклатура</t>
  </si>
  <si>
    <t>Ежемесячная зарплата в Первый год проекта</t>
  </si>
  <si>
    <t>Должность по штатному расписанию</t>
  </si>
  <si>
    <t>Номенклатура прочих затрат</t>
  </si>
  <si>
    <t>Номенклатура осуществляемых инвестиций</t>
  </si>
  <si>
    <t>Общие данные по проекту</t>
  </si>
  <si>
    <t>Период</t>
  </si>
  <si>
    <t>1 кв. 1 года</t>
  </si>
  <si>
    <t>2 кв. 1 года</t>
  </si>
  <si>
    <t>3 кв. 1 года</t>
  </si>
  <si>
    <t>4 кв. 1 года</t>
  </si>
  <si>
    <t>1 кв. 2 года</t>
  </si>
  <si>
    <t>2 кв. 2 года</t>
  </si>
  <si>
    <t>3 кв. 2 года</t>
  </si>
  <si>
    <t>4 кв. 2 года</t>
  </si>
  <si>
    <t>1 кв. 3 года</t>
  </si>
  <si>
    <t>2 кв. 3 года</t>
  </si>
  <si>
    <t>3 кв. 3 года</t>
  </si>
  <si>
    <t>4 кв. 3 года</t>
  </si>
  <si>
    <t>предъинвест. стадия</t>
  </si>
  <si>
    <t>Cash-Flow</t>
  </si>
  <si>
    <t>Плановые показатели</t>
  </si>
  <si>
    <t>I квартал 1 года</t>
  </si>
  <si>
    <t>II квартал 1 года</t>
  </si>
  <si>
    <t>III квартал 1 года</t>
  </si>
  <si>
    <t>IV квартал 1 года</t>
  </si>
  <si>
    <t>I квартал 2 года</t>
  </si>
  <si>
    <t>II квартал 2 года</t>
  </si>
  <si>
    <t>III квартал 2 года</t>
  </si>
  <si>
    <t>IV квартал 2 года</t>
  </si>
  <si>
    <t>I квартал 3 года</t>
  </si>
  <si>
    <t>II квартал 3 года</t>
  </si>
  <si>
    <t>III квартал 3 года</t>
  </si>
  <si>
    <t>IV квартал 3 года</t>
  </si>
  <si>
    <t>Налоги и отчисления во внебюджетные фонды, в т.ч.:</t>
  </si>
  <si>
    <t>НДС</t>
  </si>
  <si>
    <t>Отчисления в ФФОМС</t>
  </si>
  <si>
    <t>Отчисления в ФСС</t>
  </si>
  <si>
    <t>Отчисления в ФСС от несчастных случаев на производстве</t>
  </si>
  <si>
    <t>Средняя заработная плата на предприятии, тыс. руб. в мес.</t>
  </si>
  <si>
    <t>Численность, чел.</t>
  </si>
  <si>
    <t>Поступления, тыс. руб.</t>
  </si>
  <si>
    <t>Чистая прибыль, тыс. руб.</t>
  </si>
  <si>
    <t>Объем инвестиций/затрат на реализацию проекта (нарастающим итогом), тыс. руб.</t>
  </si>
  <si>
    <t>НДФЛ сотрудников</t>
  </si>
  <si>
    <t>Периоды</t>
  </si>
  <si>
    <t>Таблица № 8 - Прогноз финансовых результатов поквартальный, тыс. руб.</t>
  </si>
  <si>
    <t>Таблица 9 - Прогноз движения денежных средств, тыс. руб.</t>
  </si>
  <si>
    <t>Таблица 10 - Прогноз показателей эффективности проекта</t>
  </si>
  <si>
    <t>рисунок 1 - Cash Flow проекта</t>
  </si>
  <si>
    <t>Таблица 11 - План-график показателей проекта, тыс. руб.</t>
  </si>
  <si>
    <t>Таблица № 5 - Прогноз доходов по проекту, руб.</t>
  </si>
  <si>
    <t>Таблица 6 - Расчет затрат на арендные платежи за офис в Бизнес-инкубаторе</t>
  </si>
  <si>
    <t>Таблица № 7 - Структура затрат по проекту, руб.</t>
  </si>
  <si>
    <t xml:space="preserve">Наименование резидента: </t>
  </si>
  <si>
    <t>Наименование показателя</t>
  </si>
  <si>
    <t>Единица измерения</t>
  </si>
  <si>
    <t>Согласно план графику</t>
  </si>
  <si>
    <t>Фактически</t>
  </si>
  <si>
    <t>Пояснения в случае расхождения прогнозных и фактических данных</t>
  </si>
  <si>
    <t>Численность рабочего коллектива</t>
  </si>
  <si>
    <t>Выручка за отчетный период</t>
  </si>
  <si>
    <t>Чистая прибыль за отчетный период</t>
  </si>
  <si>
    <t>Объем инвестиций/затрат на реализацию проекта (отметить галочкой, указать сумму и источники)</t>
  </si>
  <si>
    <t>Отметка</t>
  </si>
  <si>
    <t>собственные</t>
  </si>
  <si>
    <t>займы учредителей</t>
  </si>
  <si>
    <t>гранты</t>
  </si>
  <si>
    <t>субсидии</t>
  </si>
  <si>
    <t>Основной рынок сбыта</t>
  </si>
  <si>
    <t>Пояснительная записка о ходе реализации проекта</t>
  </si>
  <si>
    <t>Стадия проекта</t>
  </si>
  <si>
    <t>Идея</t>
  </si>
  <si>
    <t>НИОКР</t>
  </si>
  <si>
    <t>Внедрение</t>
  </si>
  <si>
    <t>Краткое описание достижений за прошедший период</t>
  </si>
  <si>
    <t>Итоги проведенных мероприятий (количество заключенных договоров, соглашений, привлеченных клиентов и т.д.)</t>
  </si>
  <si>
    <t>Планируемые мероприятия(встречи, выставки, презентации, конференции предприятия)</t>
  </si>
  <si>
    <t>Руководитель организации:</t>
  </si>
  <si>
    <t>подпись</t>
  </si>
  <si>
    <t>М.П.</t>
  </si>
  <si>
    <t>Наименование заявителя</t>
  </si>
  <si>
    <t xml:space="preserve"> </t>
  </si>
  <si>
    <t>Система налогообложения</t>
  </si>
  <si>
    <t>кредиты</t>
  </si>
  <si>
    <t>тыс. руб.</t>
  </si>
  <si>
    <t>Налоги, поступающие в федеральный бюджет, в т.ч.:</t>
  </si>
  <si>
    <t>Налоги, поступающие в региональный бюджет, в т.ч.:</t>
  </si>
  <si>
    <t>Налоги, поступающие в муниципальный бюджет, в т.ч.:</t>
  </si>
  <si>
    <t>17% из налога на прибыль</t>
  </si>
  <si>
    <t>3% из налога на прибыль</t>
  </si>
  <si>
    <t>налог уплачиваемый в связи с применением УСН</t>
  </si>
  <si>
    <t>85% от НДФЛ</t>
  </si>
  <si>
    <t>15% от НДФЛ</t>
  </si>
  <si>
    <t>Отчисления во внебюджетные фонды:</t>
  </si>
  <si>
    <t>№ п/п</t>
  </si>
  <si>
    <t xml:space="preserve">Среднемесячная заработная плата на предприятии </t>
  </si>
  <si>
    <r>
      <t>Примечание</t>
    </r>
    <r>
      <rPr>
        <sz val="12"/>
        <color rgb="FF000000"/>
        <rFont val="Times New Roman"/>
        <family val="1"/>
        <charset val="204"/>
      </rPr>
      <t>: в случае расхождения прогнозных и фактических показателей предоставляется пояснительная записка по каждому факту расхождения.</t>
    </r>
  </si>
  <si>
    <t>Ф.И.О.</t>
  </si>
  <si>
    <t>период по бизнес-плану</t>
  </si>
  <si>
    <t>Период проекта в соответствии с бизнес-планом:</t>
  </si>
  <si>
    <t>человек</t>
  </si>
  <si>
    <t>Оснащенность предприятия (в % от заявленного в бизнес плане на данном этапе)</t>
  </si>
  <si>
    <t>Отчет резидента  бизнес инкубатора о реализации  бизнес – плана за __ квартал 20__ г.</t>
  </si>
  <si>
    <t xml:space="preserve">Отчисления в Пенсионный фонд </t>
  </si>
  <si>
    <t>Отчисления в Пенсионный фонд</t>
  </si>
  <si>
    <t>Необходимая поддержка проекту со стороны АЭР</t>
  </si>
  <si>
    <t>Меры поддержки СМСП</t>
  </si>
  <si>
    <t>Повышение квалификации сотрудников</t>
  </si>
  <si>
    <t>Косультационная поддержка по стратегии продвижения и маркетинга</t>
  </si>
  <si>
    <t>Помощь в ведении бухгалтерского и налогового учета</t>
  </si>
  <si>
    <t>Помощь в юридическом сопровождении деятельности</t>
  </si>
  <si>
    <t>Поддержка в инновационном развитии и патентовании</t>
  </si>
  <si>
    <t>Поддержка в экспортном ориентировании и продвижении</t>
  </si>
  <si>
    <t>Консультационная поддержка в привлечении льготного финансирования</t>
  </si>
  <si>
    <t>Другой тип поддержки (отметить ниже):</t>
  </si>
  <si>
    <t>ПРИМЕЧАНИЕ: В МОДЕЛИ ЗАНОСИТЬ ДАННЫЕ В ЯЧЕЙКИ, ВЫДЕЕННЫЕ ЦВЕТОМ. ПРИ ОТСУТСТВИИ ПОКАЗАТЕЛЯ - ПРОСТАВИТЬ НОЛЬ</t>
  </si>
  <si>
    <t>Этаж, на котором располагается офис</t>
  </si>
  <si>
    <t>Прочие расходы</t>
  </si>
  <si>
    <t>Финансирование первоначальных затрат и формирование текущих активов</t>
  </si>
  <si>
    <t xml:space="preserve">     // необходимо выбрать из списка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</si>
</sst>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#,##0.00\ &quot;₽&quot;;[Red]\-#,##0.00\ &quot;₽&quot;"/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-;\-* #,##0.0_-;_-* &quot;-&quot;??_-;_-@_-"/>
    <numFmt numFmtId="169" formatCode="0.0%"/>
    <numFmt numFmtId="170" formatCode="_(* #,##0_);_(* \(#,##0\);_(* &quot;-&quot;??_);_(@_)"/>
    <numFmt numFmtId="171" formatCode="_-* #,##0\ _₽_-;\-* #,##0\ _₽_-;_-* &quot;-&quot;??\ _₽_-;_-@_-"/>
    <numFmt numFmtId="172" formatCode="_-* #,##0\ _₽_-;\-* #,##0\ _₽_-;_-* &quot;-&quot;?\ _₽_-;_-@_-"/>
    <numFmt numFmtId="173" formatCode="_-* #,##0.000_-;\-* #,##0.0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2">
    <xf numFmtId="0" fontId="0" fillId="0" borderId="0" xfId="0"/>
    <xf numFmtId="0" fontId="20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49" fontId="20" fillId="0" borderId="12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locked="0" hidden="1"/>
    </xf>
    <xf numFmtId="0" fontId="20" fillId="3" borderId="1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right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/>
      <protection locked="0"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20" fillId="0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12" xfId="0" applyFont="1" applyFill="1" applyBorder="1" applyProtection="1"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8" fontId="0" fillId="0" borderId="1" xfId="1" applyNumberFormat="1" applyFont="1" applyBorder="1" applyProtection="1">
      <protection hidden="1"/>
    </xf>
    <xf numFmtId="9" fontId="5" fillId="0" borderId="1" xfId="0" applyNumberFormat="1" applyFont="1" applyBorder="1" applyAlignment="1" applyProtection="1">
      <alignment horizontal="center" vertical="center"/>
      <protection hidden="1"/>
    </xf>
    <xf numFmtId="172" fontId="18" fillId="0" borderId="1" xfId="0" applyNumberFormat="1" applyFont="1" applyFill="1" applyBorder="1" applyAlignment="1" applyProtection="1">
      <alignment horizontal="center" vertical="center"/>
      <protection hidden="1"/>
    </xf>
    <xf numFmtId="172" fontId="19" fillId="0" borderId="1" xfId="0" applyNumberFormat="1" applyFont="1" applyFill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167" fontId="9" fillId="0" borderId="1" xfId="1" applyNumberFormat="1" applyFont="1" applyFill="1" applyBorder="1" applyAlignment="1" applyProtection="1">
      <alignment wrapText="1" shrinkToFit="1"/>
      <protection hidden="1"/>
    </xf>
    <xf numFmtId="165" fontId="10" fillId="0" borderId="1" xfId="1" applyNumberFormat="1" applyFont="1" applyBorder="1" applyAlignment="1" applyProtection="1">
      <alignment horizontal="center"/>
      <protection hidden="1"/>
    </xf>
    <xf numFmtId="165" fontId="11" fillId="0" borderId="1" xfId="1" applyNumberFormat="1" applyFont="1" applyBorder="1" applyAlignment="1" applyProtection="1">
      <alignment horizontal="center" wrapText="1"/>
      <protection hidden="1"/>
    </xf>
    <xf numFmtId="165" fontId="10" fillId="0" borderId="1" xfId="1" applyNumberFormat="1" applyFont="1" applyFill="1" applyBorder="1" applyAlignment="1" applyProtection="1">
      <alignment horizontal="center"/>
      <protection hidden="1"/>
    </xf>
    <xf numFmtId="165" fontId="11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167" fontId="15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5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6" fillId="0" borderId="1" xfId="1" applyNumberFormat="1" applyFont="1" applyBorder="1" applyAlignment="1" applyProtection="1">
      <alignment horizontal="right"/>
      <protection hidden="1"/>
    </xf>
    <xf numFmtId="165" fontId="11" fillId="0" borderId="1" xfId="1" applyNumberFormat="1" applyFont="1" applyBorder="1" applyAlignment="1" applyProtection="1">
      <alignment horizontal="right" wrapText="1"/>
      <protection hidden="1"/>
    </xf>
    <xf numFmtId="0" fontId="15" fillId="0" borderId="0" xfId="0" applyFont="1" applyAlignment="1" applyProtection="1">
      <alignment horizontal="right"/>
      <protection hidden="1"/>
    </xf>
    <xf numFmtId="165" fontId="9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0" fillId="0" borderId="1" xfId="1" applyNumberFormat="1" applyFont="1" applyBorder="1" applyAlignment="1" applyProtection="1">
      <alignment horizontal="right"/>
      <protection hidden="1"/>
    </xf>
    <xf numFmtId="167" fontId="9" fillId="0" borderId="1" xfId="1" applyNumberFormat="1" applyFont="1" applyFill="1" applyBorder="1" applyAlignment="1" applyProtection="1">
      <alignment wrapText="1"/>
      <protection hidden="1"/>
    </xf>
    <xf numFmtId="165" fontId="9" fillId="0" borderId="1" xfId="1" applyNumberFormat="1" applyFont="1" applyFill="1" applyBorder="1" applyAlignment="1" applyProtection="1">
      <alignment horizontal="right" wrapText="1"/>
      <protection hidden="1"/>
    </xf>
    <xf numFmtId="167" fontId="14" fillId="0" borderId="1" xfId="1" applyNumberFormat="1" applyFont="1" applyFill="1" applyBorder="1" applyAlignment="1" applyProtection="1">
      <alignment wrapText="1" shrinkToFit="1"/>
      <protection hidden="1"/>
    </xf>
    <xf numFmtId="165" fontId="7" fillId="0" borderId="1" xfId="1" applyNumberFormat="1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71" fontId="10" fillId="0" borderId="1" xfId="1" applyNumberFormat="1" applyFont="1" applyBorder="1" applyAlignment="1" applyProtection="1">
      <alignment horizontal="center"/>
      <protection hidden="1"/>
    </xf>
    <xf numFmtId="171" fontId="11" fillId="0" borderId="1" xfId="1" applyNumberFormat="1" applyFont="1" applyBorder="1" applyAlignment="1" applyProtection="1">
      <alignment horizontal="center"/>
      <protection hidden="1"/>
    </xf>
    <xf numFmtId="171" fontId="2" fillId="0" borderId="1" xfId="0" applyNumberFormat="1" applyFont="1" applyBorder="1" applyProtection="1">
      <protection hidden="1"/>
    </xf>
    <xf numFmtId="0" fontId="7" fillId="0" borderId="1" xfId="0" applyFont="1" applyBorder="1" applyProtection="1">
      <protection hidden="1"/>
    </xf>
    <xf numFmtId="171" fontId="7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165" fontId="11" fillId="0" borderId="1" xfId="1" applyNumberFormat="1" applyFont="1" applyBorder="1" applyAlignment="1" applyProtection="1">
      <alignment horizontal="center"/>
      <protection hidden="1"/>
    </xf>
    <xf numFmtId="165" fontId="7" fillId="0" borderId="1" xfId="1" applyNumberFormat="1" applyFont="1" applyBorder="1" applyProtection="1">
      <protection hidden="1"/>
    </xf>
    <xf numFmtId="0" fontId="10" fillId="0" borderId="3" xfId="0" applyFont="1" applyBorder="1" applyProtection="1">
      <protection hidden="1"/>
    </xf>
    <xf numFmtId="165" fontId="10" fillId="0" borderId="4" xfId="1" applyNumberFormat="1" applyFont="1" applyBorder="1" applyAlignment="1" applyProtection="1">
      <alignment horizontal="center"/>
      <protection hidden="1"/>
    </xf>
    <xf numFmtId="165" fontId="11" fillId="0" borderId="4" xfId="1" applyNumberFormat="1" applyFont="1" applyBorder="1" applyAlignment="1" applyProtection="1">
      <alignment horizontal="center"/>
      <protection hidden="1"/>
    </xf>
    <xf numFmtId="165" fontId="10" fillId="0" borderId="4" xfId="1" applyNumberFormat="1" applyFont="1" applyBorder="1" applyProtection="1">
      <protection hidden="1"/>
    </xf>
    <xf numFmtId="165" fontId="2" fillId="0" borderId="4" xfId="1" applyNumberFormat="1" applyFont="1" applyBorder="1" applyProtection="1">
      <protection hidden="1"/>
    </xf>
    <xf numFmtId="165" fontId="7" fillId="0" borderId="4" xfId="1" applyNumberFormat="1" applyFont="1" applyBorder="1" applyProtection="1">
      <protection hidden="1"/>
    </xf>
    <xf numFmtId="165" fontId="7" fillId="0" borderId="5" xfId="1" applyNumberFormat="1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2" fillId="5" borderId="3" xfId="3" applyFill="1" applyBorder="1" applyProtection="1">
      <protection hidden="1"/>
    </xf>
    <xf numFmtId="170" fontId="2" fillId="5" borderId="4" xfId="4" applyNumberFormat="1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12" fillId="0" borderId="1" xfId="3" applyFont="1" applyBorder="1" applyProtection="1">
      <protection hidden="1"/>
    </xf>
    <xf numFmtId="170" fontId="11" fillId="0" borderId="1" xfId="1" applyNumberFormat="1" applyFont="1" applyBorder="1" applyProtection="1">
      <protection hidden="1"/>
    </xf>
    <xf numFmtId="0" fontId="10" fillId="0" borderId="1" xfId="3" applyFont="1" applyBorder="1" applyProtection="1">
      <protection hidden="1"/>
    </xf>
    <xf numFmtId="170" fontId="10" fillId="0" borderId="1" xfId="1" applyNumberFormat="1" applyFont="1" applyBorder="1" applyProtection="1">
      <protection hidden="1"/>
    </xf>
    <xf numFmtId="0" fontId="2" fillId="0" borderId="1" xfId="3" applyBorder="1" applyProtection="1">
      <protection hidden="1"/>
    </xf>
    <xf numFmtId="165" fontId="11" fillId="0" borderId="1" xfId="1" applyNumberFormat="1" applyFont="1" applyBorder="1" applyProtection="1">
      <protection hidden="1"/>
    </xf>
    <xf numFmtId="165" fontId="0" fillId="0" borderId="1" xfId="1" applyNumberFormat="1" applyFont="1" applyBorder="1" applyProtection="1">
      <protection hidden="1"/>
    </xf>
    <xf numFmtId="170" fontId="11" fillId="0" borderId="1" xfId="4" applyNumberFormat="1" applyFont="1" applyBorder="1" applyProtection="1">
      <protection hidden="1"/>
    </xf>
    <xf numFmtId="170" fontId="2" fillId="0" borderId="1" xfId="4" applyNumberFormat="1" applyBorder="1" applyProtection="1">
      <protection hidden="1"/>
    </xf>
    <xf numFmtId="165" fontId="2" fillId="0" borderId="1" xfId="1" applyNumberFormat="1" applyFont="1" applyBorder="1" applyProtection="1">
      <protection hidden="1"/>
    </xf>
    <xf numFmtId="0" fontId="13" fillId="0" borderId="1" xfId="3" applyFont="1" applyBorder="1" applyProtection="1">
      <protection hidden="1"/>
    </xf>
    <xf numFmtId="0" fontId="1" fillId="0" borderId="1" xfId="3" applyFont="1" applyBorder="1" applyProtection="1">
      <protection hidden="1"/>
    </xf>
    <xf numFmtId="0" fontId="12" fillId="2" borderId="1" xfId="3" applyFont="1" applyFill="1" applyBorder="1" applyProtection="1">
      <protection hidden="1"/>
    </xf>
    <xf numFmtId="170" fontId="11" fillId="2" borderId="1" xfId="4" applyNumberFormat="1" applyFont="1" applyFill="1" applyBorder="1" applyProtection="1">
      <protection hidden="1"/>
    </xf>
    <xf numFmtId="0" fontId="11" fillId="0" borderId="1" xfId="3" applyFont="1" applyBorder="1" applyProtection="1">
      <protection hidden="1"/>
    </xf>
    <xf numFmtId="170" fontId="11" fillId="0" borderId="1" xfId="3" applyNumberFormat="1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170" fontId="0" fillId="0" borderId="1" xfId="0" applyNumberFormat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1" xfId="0" applyNumberFormat="1" applyFill="1" applyBorder="1" applyProtection="1">
      <protection hidden="1"/>
    </xf>
    <xf numFmtId="10" fontId="0" fillId="0" borderId="1" xfId="2" applyNumberFormat="1" applyFont="1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173" fontId="0" fillId="0" borderId="1" xfId="1" applyNumberFormat="1" applyFont="1" applyFill="1" applyBorder="1" applyProtection="1">
      <protection hidden="1"/>
    </xf>
    <xf numFmtId="165" fontId="0" fillId="0" borderId="1" xfId="1" applyNumberFormat="1" applyFont="1" applyFill="1" applyBorder="1" applyProtection="1">
      <protection hidden="1"/>
    </xf>
    <xf numFmtId="10" fontId="0" fillId="0" borderId="1" xfId="2" applyNumberFormat="1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10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164" fontId="0" fillId="0" borderId="0" xfId="1" applyFont="1" applyProtection="1">
      <protection hidden="1"/>
    </xf>
    <xf numFmtId="10" fontId="0" fillId="0" borderId="0" xfId="2" applyNumberFormat="1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vertical="center" wrapText="1"/>
      <protection hidden="1"/>
    </xf>
    <xf numFmtId="3" fontId="6" fillId="0" borderId="17" xfId="0" applyNumberFormat="1" applyFont="1" applyBorder="1" applyAlignment="1" applyProtection="1">
      <alignment horizontal="right" vertical="center" wrapText="1"/>
      <protection hidden="1"/>
    </xf>
    <xf numFmtId="164" fontId="6" fillId="0" borderId="17" xfId="1" applyFont="1" applyBorder="1" applyAlignment="1" applyProtection="1">
      <alignment horizontal="right" vertical="center" wrapText="1"/>
      <protection hidden="1"/>
    </xf>
    <xf numFmtId="0" fontId="21" fillId="0" borderId="20" xfId="0" applyFont="1" applyBorder="1" applyAlignment="1" applyProtection="1">
      <alignment vertical="center" wrapText="1"/>
      <protection hidden="1"/>
    </xf>
    <xf numFmtId="164" fontId="21" fillId="0" borderId="21" xfId="1" applyFont="1" applyBorder="1" applyAlignment="1" applyProtection="1">
      <alignment horizontal="right" vertical="center" wrapText="1"/>
      <protection hidden="1"/>
    </xf>
    <xf numFmtId="0" fontId="22" fillId="0" borderId="0" xfId="0" applyFont="1" applyProtection="1"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164" fontId="21" fillId="0" borderId="23" xfId="1" applyFont="1" applyBorder="1" applyAlignment="1" applyProtection="1">
      <alignment horizontal="right" vertical="center" wrapText="1"/>
      <protection hidden="1"/>
    </xf>
    <xf numFmtId="0" fontId="22" fillId="0" borderId="22" xfId="0" applyFont="1" applyBorder="1" applyAlignment="1" applyProtection="1">
      <alignment wrapText="1"/>
      <protection hidden="1"/>
    </xf>
    <xf numFmtId="0" fontId="22" fillId="0" borderId="26" xfId="0" applyFont="1" applyBorder="1" applyAlignment="1" applyProtection="1">
      <alignment wrapText="1"/>
      <protection hidden="1"/>
    </xf>
    <xf numFmtId="164" fontId="21" fillId="0" borderId="24" xfId="1" applyFont="1" applyBorder="1" applyAlignment="1" applyProtection="1">
      <alignment horizontal="right" vertical="center" wrapText="1"/>
      <protection hidden="1"/>
    </xf>
    <xf numFmtId="0" fontId="20" fillId="0" borderId="19" xfId="0" applyFont="1" applyBorder="1" applyAlignment="1" applyProtection="1">
      <alignment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8" fontId="0" fillId="0" borderId="0" xfId="2" applyNumberFormat="1" applyFont="1" applyProtection="1">
      <protection hidden="1"/>
    </xf>
    <xf numFmtId="165" fontId="0" fillId="0" borderId="0" xfId="1" applyNumberFormat="1" applyFont="1" applyProtection="1">
      <protection hidden="1"/>
    </xf>
    <xf numFmtId="173" fontId="0" fillId="0" borderId="0" xfId="0" applyNumberFormat="1" applyProtection="1">
      <protection hidden="1"/>
    </xf>
    <xf numFmtId="0" fontId="26" fillId="0" borderId="0" xfId="0" applyFont="1"/>
    <xf numFmtId="0" fontId="18" fillId="0" borderId="0" xfId="0" applyFont="1"/>
    <xf numFmtId="0" fontId="18" fillId="0" borderId="1" xfId="0" applyFont="1" applyBorder="1" applyAlignment="1">
      <alignment horizontal="left"/>
    </xf>
    <xf numFmtId="49" fontId="18" fillId="3" borderId="1" xfId="0" applyNumberFormat="1" applyFont="1" applyFill="1" applyBorder="1" applyProtection="1">
      <protection locked="0"/>
    </xf>
    <xf numFmtId="0" fontId="18" fillId="0" borderId="1" xfId="0" applyFont="1" applyBorder="1" applyAlignment="1">
      <alignment wrapText="1"/>
    </xf>
    <xf numFmtId="10" fontId="18" fillId="3" borderId="1" xfId="0" applyNumberFormat="1" applyFont="1" applyFill="1" applyBorder="1" applyProtection="1">
      <protection locked="0"/>
    </xf>
    <xf numFmtId="9" fontId="18" fillId="3" borderId="1" xfId="0" applyNumberFormat="1" applyFont="1" applyFill="1" applyBorder="1" applyProtection="1">
      <protection locked="0"/>
    </xf>
    <xf numFmtId="0" fontId="18" fillId="0" borderId="0" xfId="3" applyFont="1" applyBorder="1"/>
    <xf numFmtId="9" fontId="18" fillId="0" borderId="0" xfId="0" applyNumberFormat="1" applyFont="1"/>
    <xf numFmtId="0" fontId="28" fillId="0" borderId="0" xfId="0" applyFont="1"/>
    <xf numFmtId="164" fontId="18" fillId="0" borderId="0" xfId="1" applyFont="1" applyFill="1"/>
    <xf numFmtId="0" fontId="18" fillId="0" borderId="1" xfId="0" applyFont="1" applyBorder="1"/>
    <xf numFmtId="164" fontId="18" fillId="3" borderId="1" xfId="1" applyFont="1" applyFill="1" applyBorder="1" applyProtection="1">
      <protection locked="0"/>
    </xf>
    <xf numFmtId="165" fontId="18" fillId="3" borderId="1" xfId="1" applyNumberFormat="1" applyFont="1" applyFill="1" applyBorder="1" applyProtection="1">
      <protection locked="0"/>
    </xf>
    <xf numFmtId="164" fontId="18" fillId="0" borderId="0" xfId="1" applyFont="1"/>
    <xf numFmtId="168" fontId="18" fillId="3" borderId="1" xfId="1" applyNumberFormat="1" applyFont="1" applyFill="1" applyBorder="1" applyProtection="1">
      <protection locked="0"/>
    </xf>
    <xf numFmtId="165" fontId="18" fillId="0" borderId="0" xfId="1" applyNumberFormat="1" applyFont="1"/>
    <xf numFmtId="171" fontId="18" fillId="0" borderId="0" xfId="0" applyNumberFormat="1" applyFont="1"/>
    <xf numFmtId="0" fontId="18" fillId="0" borderId="2" xfId="0" applyFont="1" applyBorder="1"/>
    <xf numFmtId="0" fontId="18" fillId="3" borderId="1" xfId="0" applyFont="1" applyFill="1" applyBorder="1" applyProtection="1">
      <protection locked="0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18" fillId="0" borderId="2" xfId="0" applyFont="1" applyBorder="1" applyAlignment="1">
      <alignment horizontal="center"/>
    </xf>
    <xf numFmtId="0" fontId="18" fillId="3" borderId="1" xfId="0" applyFont="1" applyFill="1" applyBorder="1" applyAlignment="1" applyProtection="1">
      <alignment horizontal="center"/>
      <protection locked="0"/>
    </xf>
    <xf numFmtId="165" fontId="18" fillId="0" borderId="0" xfId="1" applyNumberFormat="1" applyFont="1" applyFill="1" applyBorder="1"/>
    <xf numFmtId="0" fontId="18" fillId="0" borderId="0" xfId="0" applyFont="1" applyFill="1" applyBorder="1" applyAlignment="1">
      <alignment horizontal="center"/>
    </xf>
    <xf numFmtId="165" fontId="27" fillId="3" borderId="1" xfId="1" applyNumberFormat="1" applyFont="1" applyFill="1" applyBorder="1" applyProtection="1">
      <protection locked="0"/>
    </xf>
    <xf numFmtId="0" fontId="27" fillId="0" borderId="0" xfId="0" applyFont="1"/>
    <xf numFmtId="0" fontId="18" fillId="3" borderId="1" xfId="0" applyFont="1" applyFill="1" applyBorder="1" applyAlignment="1" applyProtection="1">
      <protection locked="0"/>
    </xf>
    <xf numFmtId="0" fontId="18" fillId="0" borderId="0" xfId="0" applyFont="1" applyFill="1" applyBorder="1" applyAlignment="1"/>
    <xf numFmtId="0" fontId="18" fillId="0" borderId="1" xfId="0" applyFont="1" applyFill="1" applyBorder="1" applyAlignment="1"/>
    <xf numFmtId="0" fontId="18" fillId="0" borderId="1" xfId="0" applyFont="1" applyFill="1" applyBorder="1" applyAlignment="1" applyProtection="1">
      <protection hidden="1"/>
    </xf>
    <xf numFmtId="165" fontId="18" fillId="0" borderId="1" xfId="1" applyNumberFormat="1" applyFont="1" applyFill="1" applyBorder="1" applyProtection="1">
      <protection hidden="1"/>
    </xf>
    <xf numFmtId="0" fontId="29" fillId="0" borderId="1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wrapText="1"/>
      <protection hidden="1"/>
    </xf>
    <xf numFmtId="165" fontId="18" fillId="0" borderId="1" xfId="1" applyNumberFormat="1" applyFont="1" applyBorder="1" applyAlignment="1" applyProtection="1">
      <alignment horizontal="center" wrapText="1"/>
      <protection hidden="1"/>
    </xf>
    <xf numFmtId="165" fontId="18" fillId="3" borderId="1" xfId="1" applyNumberFormat="1" applyFont="1" applyFill="1" applyBorder="1" applyAlignment="1" applyProtection="1">
      <alignment wrapText="1"/>
      <protection locked="0"/>
    </xf>
    <xf numFmtId="0" fontId="28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18" fillId="0" borderId="0" xfId="0" applyFont="1" applyAlignment="1"/>
    <xf numFmtId="0" fontId="18" fillId="4" borderId="1" xfId="0" applyFont="1" applyFill="1" applyBorder="1"/>
    <xf numFmtId="0" fontId="18" fillId="0" borderId="0" xfId="0" applyFont="1" applyAlignment="1">
      <alignment horizontal="center"/>
    </xf>
    <xf numFmtId="169" fontId="18" fillId="0" borderId="1" xfId="2" applyNumberFormat="1" applyFont="1" applyBorder="1"/>
    <xf numFmtId="165" fontId="18" fillId="0" borderId="1" xfId="1" applyNumberFormat="1" applyFont="1" applyBorder="1"/>
    <xf numFmtId="0" fontId="2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/>
    </xf>
    <xf numFmtId="166" fontId="18" fillId="0" borderId="1" xfId="4" applyFont="1" applyBorder="1"/>
    <xf numFmtId="0" fontId="28" fillId="0" borderId="1" xfId="3" applyFont="1" applyBorder="1"/>
    <xf numFmtId="166" fontId="28" fillId="0" borderId="1" xfId="3" applyNumberFormat="1" applyFont="1" applyBorder="1"/>
    <xf numFmtId="169" fontId="26" fillId="0" borderId="1" xfId="5" applyNumberFormat="1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1" xfId="0" applyFont="1" applyFill="1" applyBorder="1"/>
    <xf numFmtId="0" fontId="26" fillId="0" borderId="0" xfId="0" applyFont="1" applyAlignment="1">
      <alignment horizontal="left"/>
    </xf>
    <xf numFmtId="0" fontId="28" fillId="0" borderId="1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7" fontId="18" fillId="0" borderId="1" xfId="1" applyNumberFormat="1" applyFont="1" applyFill="1" applyBorder="1" applyAlignment="1">
      <alignment horizontal="left" wrapText="1" shrinkToFit="1"/>
    </xf>
    <xf numFmtId="167" fontId="18" fillId="0" borderId="1" xfId="1" applyNumberFormat="1" applyFont="1" applyFill="1" applyBorder="1" applyAlignment="1">
      <alignment horizontal="left" wrapText="1"/>
    </xf>
    <xf numFmtId="167" fontId="27" fillId="0" borderId="1" xfId="1" applyNumberFormat="1" applyFont="1" applyFill="1" applyBorder="1" applyAlignment="1">
      <alignment horizontal="left" wrapText="1" shrinkToFit="1"/>
    </xf>
    <xf numFmtId="0" fontId="18" fillId="0" borderId="0" xfId="3" applyFont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11" fillId="0" borderId="9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1" fillId="0" borderId="2" xfId="3" applyFont="1" applyBorder="1" applyAlignment="1" applyProtection="1">
      <alignment horizontal="center"/>
      <protection hidden="1"/>
    </xf>
    <xf numFmtId="0" fontId="11" fillId="0" borderId="9" xfId="3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wrapText="1"/>
      <protection hidden="1"/>
    </xf>
    <xf numFmtId="0" fontId="18" fillId="0" borderId="0" xfId="0" applyFont="1" applyProtection="1"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3" borderId="3" xfId="0" applyFont="1" applyFill="1" applyBorder="1" applyAlignment="1" applyProtection="1">
      <alignment horizontal="center" vertical="center" wrapText="1"/>
      <protection locked="0" hidden="1"/>
    </xf>
    <xf numFmtId="0" fontId="20" fillId="3" borderId="5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 applyProtection="1">
      <alignment vertical="top"/>
      <protection hidden="1"/>
    </xf>
    <xf numFmtId="9" fontId="20" fillId="0" borderId="3" xfId="0" applyNumberFormat="1" applyFont="1" applyBorder="1" applyAlignment="1" applyProtection="1">
      <alignment horizontal="center" vertical="center" wrapText="1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Protection="1">
      <protection hidden="1"/>
    </xf>
    <xf numFmtId="0" fontId="20" fillId="3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20" fillId="0" borderId="5" xfId="0" applyFont="1" applyBorder="1" applyAlignment="1" applyProtection="1">
      <alignment horizontal="left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9" xfId="0" applyFont="1" applyBorder="1" applyAlignment="1" applyProtection="1">
      <alignment horizontal="center" vertical="center" wrapText="1"/>
      <protection hidden="1"/>
    </xf>
    <xf numFmtId="0" fontId="20" fillId="3" borderId="3" xfId="0" applyFont="1" applyFill="1" applyBorder="1" applyAlignment="1" applyProtection="1">
      <alignment horizontal="left" vertical="center" wrapText="1"/>
      <protection locked="0" hidden="1"/>
    </xf>
    <xf numFmtId="0" fontId="20" fillId="3" borderId="4" xfId="0" applyFont="1" applyFill="1" applyBorder="1" applyAlignment="1" applyProtection="1">
      <alignment horizontal="left" vertical="center" wrapText="1"/>
      <protection locked="0" hidden="1"/>
    </xf>
    <xf numFmtId="0" fontId="20" fillId="3" borderId="5" xfId="0" applyFont="1" applyFill="1" applyBorder="1" applyAlignment="1" applyProtection="1">
      <alignment horizontal="left" vertical="center" wrapText="1"/>
      <protection locked="0" hidden="1"/>
    </xf>
    <xf numFmtId="0" fontId="20" fillId="0" borderId="6" xfId="0" applyFont="1" applyBorder="1" applyAlignment="1" applyProtection="1">
      <alignment horizontal="left" vertical="center" wrapText="1"/>
      <protection hidden="1"/>
    </xf>
    <xf numFmtId="0" fontId="20" fillId="0" borderId="7" xfId="0" applyFont="1" applyBorder="1" applyAlignment="1" applyProtection="1">
      <alignment horizontal="left" vertical="center" wrapText="1"/>
      <protection hidden="1"/>
    </xf>
    <xf numFmtId="0" fontId="20" fillId="0" borderId="28" xfId="0" applyFont="1" applyBorder="1" applyAlignment="1" applyProtection="1">
      <alignment horizontal="left" vertical="center" wrapText="1"/>
      <protection hidden="1"/>
    </xf>
    <xf numFmtId="0" fontId="20" fillId="0" borderId="8" xfId="0" applyFont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164" fontId="18" fillId="0" borderId="3" xfId="1" applyFont="1" applyBorder="1" applyAlignment="1" applyProtection="1">
      <alignment horizontal="center" vertical="center"/>
      <protection hidden="1"/>
    </xf>
    <xf numFmtId="164" fontId="18" fillId="0" borderId="5" xfId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165" fontId="18" fillId="0" borderId="3" xfId="1" applyNumberFormat="1" applyFont="1" applyBorder="1" applyAlignment="1" applyProtection="1">
      <alignment horizontal="center" vertical="center"/>
      <protection hidden="1"/>
    </xf>
    <xf numFmtId="165" fontId="18" fillId="0" borderId="5" xfId="1" applyNumberFormat="1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3" borderId="3" xfId="0" applyFont="1" applyFill="1" applyBorder="1" applyAlignment="1" applyProtection="1">
      <alignment horizontal="center" vertical="center"/>
      <protection locked="0" hidden="1"/>
    </xf>
    <xf numFmtId="0" fontId="20" fillId="3" borderId="5" xfId="0" applyFont="1" applyFill="1" applyBorder="1" applyAlignment="1" applyProtection="1">
      <alignment horizontal="center" vertical="center"/>
      <protection locked="0" hidden="1"/>
    </xf>
    <xf numFmtId="49" fontId="20" fillId="3" borderId="4" xfId="0" applyNumberFormat="1" applyFont="1" applyFill="1" applyBorder="1" applyAlignment="1" applyProtection="1">
      <alignment horizontal="center" vertical="center"/>
      <protection locked="0" hidden="1"/>
    </xf>
    <xf numFmtId="43" fontId="2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164" fontId="20" fillId="0" borderId="3" xfId="1" applyFont="1" applyBorder="1" applyAlignment="1" applyProtection="1">
      <alignment horizontal="center" vertical="center" wrapText="1"/>
      <protection hidden="1"/>
    </xf>
    <xf numFmtId="164" fontId="20" fillId="0" borderId="5" xfId="1" applyFont="1" applyBorder="1" applyAlignment="1" applyProtection="1">
      <alignment horizontal="center" vertical="center" wrapText="1"/>
      <protection hidden="1"/>
    </xf>
    <xf numFmtId="169" fontId="20" fillId="0" borderId="3" xfId="2" applyNumberFormat="1" applyFont="1" applyBorder="1" applyAlignment="1" applyProtection="1">
      <alignment horizontal="center" vertical="center" wrapText="1"/>
      <protection hidden="1"/>
    </xf>
    <xf numFmtId="169" fontId="20" fillId="0" borderId="4" xfId="2" applyNumberFormat="1" applyFont="1" applyBorder="1" applyAlignment="1" applyProtection="1">
      <alignment horizontal="center" vertical="center" wrapText="1"/>
      <protection hidden="1"/>
    </xf>
    <xf numFmtId="169" fontId="20" fillId="0" borderId="5" xfId="2" applyNumberFormat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wrapText="1"/>
      <protection locked="0"/>
    </xf>
    <xf numFmtId="0" fontId="18" fillId="3" borderId="3" xfId="0" applyFont="1" applyFill="1" applyBorder="1" applyAlignment="1" applyProtection="1">
      <alignment wrapText="1"/>
      <protection locked="0"/>
    </xf>
    <xf numFmtId="0" fontId="18" fillId="3" borderId="3" xfId="0" applyFont="1" applyFill="1" applyBorder="1" applyAlignment="1" applyProtection="1">
      <protection locked="0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'Итоговые расчеты модели'!$A$308</c:f>
              <c:strCache>
                <c:ptCount val="1"/>
                <c:pt idx="0">
                  <c:v>Cash-Flow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'Итоговые расчеты модели'!$B$307:$N$307</c:f>
              <c:strCache>
                <c:ptCount val="13"/>
                <c:pt idx="0">
                  <c:v>предъинвест. стадия</c:v>
                </c:pt>
                <c:pt idx="1">
                  <c:v>1 кв. 1 года</c:v>
                </c:pt>
                <c:pt idx="2">
                  <c:v>2 кв. 1 года</c:v>
                </c:pt>
                <c:pt idx="3">
                  <c:v>3 кв. 1 года</c:v>
                </c:pt>
                <c:pt idx="4">
                  <c:v>4 кв. 1 года</c:v>
                </c:pt>
                <c:pt idx="5">
                  <c:v>1 кв. 2 года</c:v>
                </c:pt>
                <c:pt idx="6">
                  <c:v>2 кв. 2 года</c:v>
                </c:pt>
                <c:pt idx="7">
                  <c:v>3 кв. 2 года</c:v>
                </c:pt>
                <c:pt idx="8">
                  <c:v>4 кв. 2 года</c:v>
                </c:pt>
                <c:pt idx="9">
                  <c:v>1 кв. 3 года</c:v>
                </c:pt>
                <c:pt idx="10">
                  <c:v>2 кв. 3 года</c:v>
                </c:pt>
                <c:pt idx="11">
                  <c:v>3 кв. 3 года</c:v>
                </c:pt>
                <c:pt idx="12">
                  <c:v>4 кв. 3 года</c:v>
                </c:pt>
              </c:strCache>
            </c:strRef>
          </c:cat>
          <c:val>
            <c:numRef>
              <c:f>'Итоговые расчеты модели'!$B$308:$N$308</c:f>
              <c:numCache>
                <c:formatCode>_-* #,##0_-;\-* #,##0_-;_-* "-"??_-;_-@_-</c:formatCode>
                <c:ptCount val="13"/>
                <c:pt idx="0">
                  <c:v>0</c:v>
                </c:pt>
                <c:pt idx="1">
                  <c:v>-2854.2163455653749</c:v>
                </c:pt>
                <c:pt idx="2">
                  <c:v>-2917.4195511307498</c:v>
                </c:pt>
                <c:pt idx="3">
                  <c:v>-2865.4855366961247</c:v>
                </c:pt>
                <c:pt idx="4">
                  <c:v>-1931.7834422614997</c:v>
                </c:pt>
                <c:pt idx="5">
                  <c:v>-1215.727715609562</c:v>
                </c:pt>
                <c:pt idx="6">
                  <c:v>-497.49831895762441</c:v>
                </c:pt>
                <c:pt idx="7">
                  <c:v>222.95952769431324</c:v>
                </c:pt>
                <c:pt idx="8">
                  <c:v>945.70200434625099</c:v>
                </c:pt>
                <c:pt idx="9">
                  <c:v>1078.4642514328127</c:v>
                </c:pt>
                <c:pt idx="10">
                  <c:v>1169.7399525193753</c:v>
                </c:pt>
                <c:pt idx="11">
                  <c:v>1325.4169036059373</c:v>
                </c:pt>
                <c:pt idx="12">
                  <c:v>1483.6177146924995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B82-45DB-8AC0-88F47AA6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3760"/>
        <c:axId val="129671936"/>
      </c:lineChart>
      <c:catAx>
        <c:axId val="1296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671936"/>
        <c:crosses val="autoZero"/>
        <c:auto val="1"/>
        <c:lblAlgn val="ctr"/>
        <c:lblOffset val="100"/>
        <c:noMultiLvlLbl val="0"/>
      </c:catAx>
      <c:valAx>
        <c:axId val="1296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9653760"/>
        <c:crossesAt val="0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145116</xdr:colOff>
      <xdr:row>118</xdr:row>
      <xdr:rowOff>80963</xdr:rowOff>
    </xdr:from>
    <xdr:to>
      <xdr:col>10</xdr:col>
      <xdr:colOff>691963</xdr:colOff>
      <xdr:row>132</xdr:row>
      <xdr:rowOff>157163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FB330682-29E2-49E0-83FD-9D2BC78FF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showGridLines="0" tabSelected="1" topLeftCell="A41" zoomScale="85" zoomScaleNormal="85" workbookViewId="0">
      <selection activeCell="A72" sqref="A72"/>
    </sheetView>
  </sheetViews>
  <sheetFormatPr defaultRowHeight="15.75" outlineLevelRow="1" x14ac:dyDescent="0.25"/>
  <cols>
    <col min="1" max="1" width="32.140625" style="140" customWidth="1"/>
    <col min="2" max="2" width="23.5703125" style="140" customWidth="1"/>
    <col min="3" max="3" width="18" style="140" customWidth="1"/>
    <col min="4" max="5" width="17.5703125" style="140" bestFit="1" customWidth="1"/>
    <col min="6" max="6" width="13" style="140" bestFit="1" customWidth="1"/>
    <col min="7" max="7" width="9.42578125" style="140" bestFit="1" customWidth="1"/>
    <col min="8" max="8" width="10.5703125" style="140" bestFit="1" customWidth="1"/>
    <col min="9" max="10" width="9.42578125" style="140" bestFit="1" customWidth="1"/>
    <col min="11" max="11" width="10.5703125" style="140" bestFit="1" customWidth="1"/>
    <col min="12" max="14" width="9.5703125" style="140" bestFit="1" customWidth="1"/>
    <col min="15" max="15" width="10.85546875" style="140" bestFit="1" customWidth="1"/>
    <col min="16" max="38" width="9.42578125" style="140" bestFit="1" customWidth="1"/>
    <col min="39" max="39" width="9.140625" style="140"/>
    <col min="40" max="40" width="13.140625" style="140" bestFit="1" customWidth="1"/>
    <col min="41" max="16384" width="9.140625" style="140"/>
  </cols>
  <sheetData>
    <row r="1" spans="1:4" x14ac:dyDescent="0.25">
      <c r="A1" s="139" t="s">
        <v>306</v>
      </c>
    </row>
    <row r="3" spans="1:4" x14ac:dyDescent="0.25">
      <c r="A3" s="197" t="s">
        <v>195</v>
      </c>
      <c r="B3" s="197"/>
    </row>
    <row r="4" spans="1:4" x14ac:dyDescent="0.25">
      <c r="A4" s="141" t="s">
        <v>271</v>
      </c>
      <c r="B4" s="142"/>
    </row>
    <row r="5" spans="1:4" x14ac:dyDescent="0.25">
      <c r="A5" s="143" t="s">
        <v>176</v>
      </c>
      <c r="B5" s="144">
        <v>6.25E-2</v>
      </c>
    </row>
    <row r="6" spans="1:4" x14ac:dyDescent="0.25">
      <c r="A6" s="143" t="s">
        <v>16</v>
      </c>
      <c r="B6" s="145">
        <v>0.04</v>
      </c>
      <c r="D6" s="146"/>
    </row>
    <row r="7" spans="1:4" ht="31.5" x14ac:dyDescent="0.25">
      <c r="A7" s="143" t="s">
        <v>36</v>
      </c>
      <c r="B7" s="145">
        <v>0.06</v>
      </c>
      <c r="D7" s="146"/>
    </row>
    <row r="8" spans="1:4" x14ac:dyDescent="0.25">
      <c r="A8" s="143" t="s">
        <v>45</v>
      </c>
      <c r="B8" s="145" t="s">
        <v>47</v>
      </c>
      <c r="C8" s="196" t="s">
        <v>310</v>
      </c>
      <c r="D8" s="146"/>
    </row>
    <row r="9" spans="1:4" ht="31.5" x14ac:dyDescent="0.25">
      <c r="A9" s="143" t="s">
        <v>63</v>
      </c>
      <c r="B9" s="145" t="s">
        <v>58</v>
      </c>
      <c r="C9" s="196" t="s">
        <v>310</v>
      </c>
      <c r="D9" s="146"/>
    </row>
    <row r="10" spans="1:4" x14ac:dyDescent="0.25">
      <c r="B10" s="147"/>
    </row>
    <row r="11" spans="1:4" x14ac:dyDescent="0.25">
      <c r="A11" s="148" t="s">
        <v>53</v>
      </c>
      <c r="B11" s="149"/>
    </row>
    <row r="12" spans="1:4" x14ac:dyDescent="0.25">
      <c r="A12" s="150" t="str">
        <f>A37</f>
        <v>товар/услуга 1</v>
      </c>
      <c r="B12" s="151">
        <v>200</v>
      </c>
    </row>
    <row r="13" spans="1:4" x14ac:dyDescent="0.25">
      <c r="A13" s="150" t="str">
        <f t="shared" ref="A13:A16" si="0">A38</f>
        <v>товар/услуга 2</v>
      </c>
      <c r="B13" s="151">
        <v>300</v>
      </c>
    </row>
    <row r="14" spans="1:4" x14ac:dyDescent="0.25">
      <c r="A14" s="150" t="str">
        <f t="shared" si="0"/>
        <v>товар/услуга 3</v>
      </c>
      <c r="B14" s="151">
        <v>2000</v>
      </c>
    </row>
    <row r="15" spans="1:4" x14ac:dyDescent="0.25">
      <c r="A15" s="150" t="str">
        <f t="shared" si="0"/>
        <v>товар/услуга 4</v>
      </c>
      <c r="B15" s="151">
        <v>3000</v>
      </c>
    </row>
    <row r="16" spans="1:4" x14ac:dyDescent="0.25">
      <c r="A16" s="150" t="str">
        <f t="shared" si="0"/>
        <v>товар/услуга 5</v>
      </c>
      <c r="B16" s="151">
        <v>6000</v>
      </c>
    </row>
    <row r="17" spans="1:5" x14ac:dyDescent="0.25">
      <c r="B17" s="147"/>
    </row>
    <row r="18" spans="1:5" x14ac:dyDescent="0.25">
      <c r="A18" s="148" t="s">
        <v>44</v>
      </c>
      <c r="B18" s="147"/>
    </row>
    <row r="19" spans="1:5" x14ac:dyDescent="0.25">
      <c r="A19" s="143" t="s">
        <v>86</v>
      </c>
      <c r="B19" s="152">
        <v>5</v>
      </c>
      <c r="E19" s="153"/>
    </row>
    <row r="20" spans="1:5" ht="31.5" x14ac:dyDescent="0.25">
      <c r="A20" s="143" t="s">
        <v>307</v>
      </c>
      <c r="B20" s="152">
        <v>2</v>
      </c>
      <c r="C20" s="196" t="s">
        <v>310</v>
      </c>
      <c r="E20" s="153"/>
    </row>
    <row r="21" spans="1:5" ht="47.25" x14ac:dyDescent="0.25">
      <c r="A21" s="143" t="s">
        <v>87</v>
      </c>
      <c r="B21" s="152">
        <v>3</v>
      </c>
      <c r="C21" s="196" t="s">
        <v>310</v>
      </c>
    </row>
    <row r="22" spans="1:5" x14ac:dyDescent="0.25">
      <c r="A22" s="143" t="s">
        <v>89</v>
      </c>
      <c r="B22" s="154">
        <v>50.5</v>
      </c>
    </row>
    <row r="23" spans="1:5" ht="31.5" x14ac:dyDescent="0.25">
      <c r="A23" s="143" t="s">
        <v>90</v>
      </c>
      <c r="B23" s="154">
        <v>16</v>
      </c>
    </row>
    <row r="24" spans="1:5" x14ac:dyDescent="0.25">
      <c r="B24" s="155"/>
    </row>
    <row r="25" spans="1:5" x14ac:dyDescent="0.25">
      <c r="A25" s="148" t="s">
        <v>74</v>
      </c>
      <c r="B25" s="147"/>
    </row>
    <row r="26" spans="1:5" x14ac:dyDescent="0.25">
      <c r="A26" s="143" t="s">
        <v>75</v>
      </c>
      <c r="B26" s="152">
        <v>1000000</v>
      </c>
    </row>
    <row r="27" spans="1:5" x14ac:dyDescent="0.25">
      <c r="A27" s="143" t="s">
        <v>76</v>
      </c>
      <c r="B27" s="152">
        <v>36</v>
      </c>
    </row>
    <row r="28" spans="1:5" ht="31.5" x14ac:dyDescent="0.25">
      <c r="A28" s="143" t="s">
        <v>91</v>
      </c>
      <c r="B28" s="152">
        <v>3</v>
      </c>
    </row>
    <row r="29" spans="1:5" x14ac:dyDescent="0.25">
      <c r="A29" s="143" t="s">
        <v>77</v>
      </c>
      <c r="B29" s="145">
        <v>0.1</v>
      </c>
    </row>
    <row r="30" spans="1:5" x14ac:dyDescent="0.25">
      <c r="B30" s="147"/>
      <c r="E30" s="156"/>
    </row>
    <row r="31" spans="1:5" x14ac:dyDescent="0.25">
      <c r="A31" s="148" t="s">
        <v>78</v>
      </c>
      <c r="B31" s="147"/>
      <c r="E31" s="156"/>
    </row>
    <row r="32" spans="1:5" ht="31.5" x14ac:dyDescent="0.25">
      <c r="A32" s="143" t="s">
        <v>79</v>
      </c>
      <c r="B32" s="152">
        <v>500000</v>
      </c>
      <c r="E32" s="156"/>
    </row>
    <row r="33" spans="1:40" x14ac:dyDescent="0.25">
      <c r="B33" s="147"/>
      <c r="E33" s="156"/>
    </row>
    <row r="34" spans="1:40" x14ac:dyDescent="0.25">
      <c r="A34" s="148" t="s">
        <v>73</v>
      </c>
    </row>
    <row r="35" spans="1:40" x14ac:dyDescent="0.25">
      <c r="A35" s="199" t="s">
        <v>190</v>
      </c>
      <c r="B35" s="200" t="s">
        <v>54</v>
      </c>
      <c r="C35" s="203" t="s">
        <v>29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5"/>
      <c r="O35" s="203" t="s">
        <v>30</v>
      </c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  <c r="AA35" s="203" t="s">
        <v>31</v>
      </c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5"/>
      <c r="AN35" s="156"/>
    </row>
    <row r="36" spans="1:40" x14ac:dyDescent="0.25">
      <c r="A36" s="199"/>
      <c r="B36" s="201"/>
      <c r="C36" s="150" t="s">
        <v>17</v>
      </c>
      <c r="D36" s="150" t="s">
        <v>18</v>
      </c>
      <c r="E36" s="150" t="s">
        <v>19</v>
      </c>
      <c r="F36" s="150" t="s">
        <v>20</v>
      </c>
      <c r="G36" s="150" t="s">
        <v>21</v>
      </c>
      <c r="H36" s="150" t="s">
        <v>22</v>
      </c>
      <c r="I36" s="150" t="s">
        <v>23</v>
      </c>
      <c r="J36" s="150" t="s">
        <v>24</v>
      </c>
      <c r="K36" s="150" t="s">
        <v>25</v>
      </c>
      <c r="L36" s="150" t="s">
        <v>26</v>
      </c>
      <c r="M36" s="150" t="s">
        <v>27</v>
      </c>
      <c r="N36" s="150" t="s">
        <v>28</v>
      </c>
      <c r="O36" s="157" t="s">
        <v>17</v>
      </c>
      <c r="P36" s="157" t="s">
        <v>18</v>
      </c>
      <c r="Q36" s="157" t="s">
        <v>19</v>
      </c>
      <c r="R36" s="157" t="s">
        <v>20</v>
      </c>
      <c r="S36" s="157" t="s">
        <v>21</v>
      </c>
      <c r="T36" s="157" t="s">
        <v>22</v>
      </c>
      <c r="U36" s="157" t="s">
        <v>23</v>
      </c>
      <c r="V36" s="157" t="s">
        <v>24</v>
      </c>
      <c r="W36" s="157" t="s">
        <v>25</v>
      </c>
      <c r="X36" s="157" t="s">
        <v>26</v>
      </c>
      <c r="Y36" s="157" t="s">
        <v>27</v>
      </c>
      <c r="Z36" s="157" t="s">
        <v>28</v>
      </c>
      <c r="AA36" s="157" t="s">
        <v>17</v>
      </c>
      <c r="AB36" s="157" t="s">
        <v>18</v>
      </c>
      <c r="AC36" s="157" t="s">
        <v>19</v>
      </c>
      <c r="AD36" s="157" t="s">
        <v>20</v>
      </c>
      <c r="AE36" s="157" t="s">
        <v>21</v>
      </c>
      <c r="AF36" s="157" t="s">
        <v>22</v>
      </c>
      <c r="AG36" s="157" t="s">
        <v>23</v>
      </c>
      <c r="AH36" s="157" t="s">
        <v>24</v>
      </c>
      <c r="AI36" s="157" t="s">
        <v>25</v>
      </c>
      <c r="AJ36" s="157" t="s">
        <v>26</v>
      </c>
      <c r="AK36" s="157" t="s">
        <v>27</v>
      </c>
      <c r="AL36" s="157" t="s">
        <v>28</v>
      </c>
    </row>
    <row r="37" spans="1:40" x14ac:dyDescent="0.25">
      <c r="A37" s="280" t="s">
        <v>32</v>
      </c>
      <c r="B37" s="151">
        <v>15000</v>
      </c>
      <c r="C37" s="158">
        <v>2</v>
      </c>
      <c r="D37" s="158">
        <v>2</v>
      </c>
      <c r="E37" s="158">
        <v>3</v>
      </c>
      <c r="F37" s="158">
        <v>3</v>
      </c>
      <c r="G37" s="158">
        <v>5</v>
      </c>
      <c r="H37" s="158">
        <v>5</v>
      </c>
      <c r="I37" s="158">
        <v>5</v>
      </c>
      <c r="J37" s="158">
        <v>5</v>
      </c>
      <c r="K37" s="158">
        <v>10</v>
      </c>
      <c r="L37" s="158">
        <v>10</v>
      </c>
      <c r="M37" s="158">
        <v>10</v>
      </c>
      <c r="N37" s="158">
        <v>10</v>
      </c>
      <c r="O37" s="158">
        <v>10</v>
      </c>
      <c r="P37" s="158">
        <v>10</v>
      </c>
      <c r="Q37" s="158">
        <v>10</v>
      </c>
      <c r="R37" s="158">
        <v>10</v>
      </c>
      <c r="S37" s="158">
        <v>10</v>
      </c>
      <c r="T37" s="158">
        <v>10</v>
      </c>
      <c r="U37" s="158">
        <v>10</v>
      </c>
      <c r="V37" s="158">
        <v>10</v>
      </c>
      <c r="W37" s="158">
        <v>10</v>
      </c>
      <c r="X37" s="158">
        <v>10</v>
      </c>
      <c r="Y37" s="158">
        <v>10</v>
      </c>
      <c r="Z37" s="158">
        <v>10</v>
      </c>
      <c r="AA37" s="158">
        <v>10</v>
      </c>
      <c r="AB37" s="158">
        <v>10</v>
      </c>
      <c r="AC37" s="158">
        <v>10</v>
      </c>
      <c r="AD37" s="158">
        <v>10</v>
      </c>
      <c r="AE37" s="158">
        <v>10</v>
      </c>
      <c r="AF37" s="158">
        <v>10</v>
      </c>
      <c r="AG37" s="158">
        <v>10</v>
      </c>
      <c r="AH37" s="158">
        <v>10</v>
      </c>
      <c r="AI37" s="158">
        <v>10</v>
      </c>
      <c r="AJ37" s="158">
        <v>10</v>
      </c>
      <c r="AK37" s="158">
        <v>10</v>
      </c>
      <c r="AL37" s="158">
        <v>10</v>
      </c>
      <c r="AN37" s="156"/>
    </row>
    <row r="38" spans="1:40" x14ac:dyDescent="0.25">
      <c r="A38" s="280" t="s">
        <v>33</v>
      </c>
      <c r="B38" s="151">
        <v>16000</v>
      </c>
      <c r="C38" s="158"/>
      <c r="D38" s="158"/>
      <c r="E38" s="158"/>
      <c r="F38" s="158">
        <v>4</v>
      </c>
      <c r="G38" s="158">
        <v>4</v>
      </c>
      <c r="H38" s="158">
        <v>4</v>
      </c>
      <c r="I38" s="158">
        <v>4</v>
      </c>
      <c r="J38" s="158">
        <v>4</v>
      </c>
      <c r="K38" s="158">
        <v>4</v>
      </c>
      <c r="L38" s="158">
        <v>4</v>
      </c>
      <c r="M38" s="158">
        <v>4</v>
      </c>
      <c r="N38" s="158">
        <v>4</v>
      </c>
      <c r="O38" s="158">
        <v>4</v>
      </c>
      <c r="P38" s="158">
        <v>4</v>
      </c>
      <c r="Q38" s="158">
        <v>4</v>
      </c>
      <c r="R38" s="158">
        <v>4</v>
      </c>
      <c r="S38" s="158">
        <v>4</v>
      </c>
      <c r="T38" s="158">
        <v>4</v>
      </c>
      <c r="U38" s="158">
        <v>4</v>
      </c>
      <c r="V38" s="158">
        <v>4</v>
      </c>
      <c r="W38" s="158">
        <v>4</v>
      </c>
      <c r="X38" s="158">
        <v>4</v>
      </c>
      <c r="Y38" s="158">
        <v>4</v>
      </c>
      <c r="Z38" s="158">
        <v>4</v>
      </c>
      <c r="AA38" s="158">
        <v>4</v>
      </c>
      <c r="AB38" s="158">
        <v>4</v>
      </c>
      <c r="AC38" s="158">
        <v>4</v>
      </c>
      <c r="AD38" s="158">
        <v>4</v>
      </c>
      <c r="AE38" s="158">
        <v>4</v>
      </c>
      <c r="AF38" s="158">
        <v>4</v>
      </c>
      <c r="AG38" s="158">
        <v>4</v>
      </c>
      <c r="AH38" s="158">
        <v>4</v>
      </c>
      <c r="AI38" s="158">
        <v>4</v>
      </c>
      <c r="AJ38" s="158">
        <v>4</v>
      </c>
      <c r="AK38" s="158">
        <v>4</v>
      </c>
      <c r="AL38" s="158">
        <v>4</v>
      </c>
      <c r="AN38" s="156"/>
    </row>
    <row r="39" spans="1:40" x14ac:dyDescent="0.25">
      <c r="A39" s="280" t="s">
        <v>34</v>
      </c>
      <c r="B39" s="151">
        <v>17000</v>
      </c>
      <c r="C39" s="158">
        <v>1</v>
      </c>
      <c r="D39" s="158">
        <v>2</v>
      </c>
      <c r="E39" s="158">
        <v>3</v>
      </c>
      <c r="F39" s="158">
        <v>4</v>
      </c>
      <c r="G39" s="158">
        <v>5</v>
      </c>
      <c r="H39" s="158">
        <v>6</v>
      </c>
      <c r="I39" s="158">
        <v>7</v>
      </c>
      <c r="J39" s="158">
        <v>8</v>
      </c>
      <c r="K39" s="158">
        <v>9</v>
      </c>
      <c r="L39" s="158">
        <v>10</v>
      </c>
      <c r="M39" s="158">
        <v>10</v>
      </c>
      <c r="N39" s="158">
        <v>10</v>
      </c>
      <c r="O39" s="158">
        <v>10</v>
      </c>
      <c r="P39" s="158">
        <v>10</v>
      </c>
      <c r="Q39" s="158">
        <v>10</v>
      </c>
      <c r="R39" s="158">
        <v>10</v>
      </c>
      <c r="S39" s="158">
        <v>10</v>
      </c>
      <c r="T39" s="158">
        <v>10</v>
      </c>
      <c r="U39" s="158">
        <v>10</v>
      </c>
      <c r="V39" s="158">
        <v>10</v>
      </c>
      <c r="W39" s="158">
        <v>10</v>
      </c>
      <c r="X39" s="158">
        <v>10</v>
      </c>
      <c r="Y39" s="158">
        <v>10</v>
      </c>
      <c r="Z39" s="158">
        <v>10</v>
      </c>
      <c r="AA39" s="158">
        <v>10</v>
      </c>
      <c r="AB39" s="158">
        <v>10</v>
      </c>
      <c r="AC39" s="158">
        <v>10</v>
      </c>
      <c r="AD39" s="158">
        <v>10</v>
      </c>
      <c r="AE39" s="158">
        <v>10</v>
      </c>
      <c r="AF39" s="158">
        <v>10</v>
      </c>
      <c r="AG39" s="158">
        <v>10</v>
      </c>
      <c r="AH39" s="158">
        <v>10</v>
      </c>
      <c r="AI39" s="158">
        <v>10</v>
      </c>
      <c r="AJ39" s="158">
        <v>10</v>
      </c>
      <c r="AK39" s="158">
        <v>10</v>
      </c>
      <c r="AL39" s="158">
        <v>10</v>
      </c>
      <c r="AN39" s="156"/>
    </row>
    <row r="40" spans="1:40" x14ac:dyDescent="0.25">
      <c r="A40" s="280" t="s">
        <v>55</v>
      </c>
      <c r="B40" s="151">
        <v>18500</v>
      </c>
      <c r="C40" s="158">
        <v>10</v>
      </c>
      <c r="D40" s="158">
        <v>10</v>
      </c>
      <c r="E40" s="158">
        <v>10</v>
      </c>
      <c r="F40" s="158">
        <v>10</v>
      </c>
      <c r="G40" s="158">
        <v>10</v>
      </c>
      <c r="H40" s="158">
        <v>10</v>
      </c>
      <c r="I40" s="158">
        <v>10</v>
      </c>
      <c r="J40" s="158">
        <v>10</v>
      </c>
      <c r="K40" s="158">
        <v>10</v>
      </c>
      <c r="L40" s="158">
        <v>10</v>
      </c>
      <c r="M40" s="158">
        <v>10</v>
      </c>
      <c r="N40" s="158">
        <v>10</v>
      </c>
      <c r="O40" s="158">
        <v>10</v>
      </c>
      <c r="P40" s="158">
        <v>10</v>
      </c>
      <c r="Q40" s="158">
        <v>10</v>
      </c>
      <c r="R40" s="158">
        <v>10</v>
      </c>
      <c r="S40" s="158">
        <v>10</v>
      </c>
      <c r="T40" s="158">
        <v>10</v>
      </c>
      <c r="U40" s="158">
        <v>10</v>
      </c>
      <c r="V40" s="158">
        <v>10</v>
      </c>
      <c r="W40" s="158">
        <v>10</v>
      </c>
      <c r="X40" s="158">
        <v>10</v>
      </c>
      <c r="Y40" s="158">
        <v>10</v>
      </c>
      <c r="Z40" s="158">
        <v>10</v>
      </c>
      <c r="AA40" s="158">
        <v>10</v>
      </c>
      <c r="AB40" s="158">
        <v>10</v>
      </c>
      <c r="AC40" s="158">
        <v>10</v>
      </c>
      <c r="AD40" s="158">
        <v>10</v>
      </c>
      <c r="AE40" s="158">
        <v>10</v>
      </c>
      <c r="AF40" s="158">
        <v>10</v>
      </c>
      <c r="AG40" s="158">
        <v>10</v>
      </c>
      <c r="AH40" s="158">
        <v>10</v>
      </c>
      <c r="AI40" s="158">
        <v>10</v>
      </c>
      <c r="AJ40" s="158">
        <v>10</v>
      </c>
      <c r="AK40" s="158">
        <v>10</v>
      </c>
      <c r="AL40" s="158">
        <v>10</v>
      </c>
      <c r="AN40" s="156"/>
    </row>
    <row r="41" spans="1:40" x14ac:dyDescent="0.25">
      <c r="A41" s="280" t="s">
        <v>56</v>
      </c>
      <c r="B41" s="151">
        <v>40000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>
        <v>5</v>
      </c>
      <c r="M41" s="158">
        <v>5</v>
      </c>
      <c r="N41" s="158">
        <v>5</v>
      </c>
      <c r="O41" s="158">
        <v>5</v>
      </c>
      <c r="P41" s="158">
        <v>5</v>
      </c>
      <c r="Q41" s="158">
        <v>5</v>
      </c>
      <c r="R41" s="158">
        <v>5</v>
      </c>
      <c r="S41" s="158">
        <v>5</v>
      </c>
      <c r="T41" s="158">
        <v>5</v>
      </c>
      <c r="U41" s="158">
        <v>5</v>
      </c>
      <c r="V41" s="158">
        <v>5</v>
      </c>
      <c r="W41" s="158">
        <v>5</v>
      </c>
      <c r="X41" s="158">
        <v>5</v>
      </c>
      <c r="Y41" s="158">
        <v>5</v>
      </c>
      <c r="Z41" s="158">
        <v>5</v>
      </c>
      <c r="AA41" s="158">
        <v>5</v>
      </c>
      <c r="AB41" s="158">
        <v>5</v>
      </c>
      <c r="AC41" s="158">
        <v>5</v>
      </c>
      <c r="AD41" s="158">
        <v>5</v>
      </c>
      <c r="AE41" s="158">
        <v>5</v>
      </c>
      <c r="AF41" s="158">
        <v>5</v>
      </c>
      <c r="AG41" s="158">
        <v>5</v>
      </c>
      <c r="AH41" s="158">
        <v>5</v>
      </c>
      <c r="AI41" s="158">
        <v>5</v>
      </c>
      <c r="AJ41" s="158">
        <v>5</v>
      </c>
      <c r="AK41" s="158">
        <v>5</v>
      </c>
      <c r="AL41" s="158">
        <v>5</v>
      </c>
      <c r="AN41" s="156"/>
    </row>
    <row r="42" spans="1:40" s="161" customFormat="1" x14ac:dyDescent="0.25">
      <c r="A42" s="159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</row>
    <row r="44" spans="1:40" x14ac:dyDescent="0.25">
      <c r="A44" s="148" t="s">
        <v>35</v>
      </c>
    </row>
    <row r="45" spans="1:40" x14ac:dyDescent="0.25">
      <c r="C45" s="140" t="s">
        <v>37</v>
      </c>
    </row>
    <row r="46" spans="1:40" x14ac:dyDescent="0.25">
      <c r="A46" s="200" t="s">
        <v>192</v>
      </c>
      <c r="B46" s="200" t="s">
        <v>191</v>
      </c>
      <c r="C46" s="203" t="s">
        <v>29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  <c r="O46" s="203" t="s">
        <v>30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5"/>
      <c r="AA46" s="203" t="s">
        <v>31</v>
      </c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5"/>
    </row>
    <row r="47" spans="1:40" x14ac:dyDescent="0.25">
      <c r="A47" s="201"/>
      <c r="B47" s="201"/>
      <c r="C47" s="162" t="s">
        <v>17</v>
      </c>
      <c r="D47" s="157" t="s">
        <v>18</v>
      </c>
      <c r="E47" s="157" t="s">
        <v>19</v>
      </c>
      <c r="F47" s="157" t="s">
        <v>20</v>
      </c>
      <c r="G47" s="157" t="s">
        <v>21</v>
      </c>
      <c r="H47" s="157" t="s">
        <v>22</v>
      </c>
      <c r="I47" s="157" t="s">
        <v>23</v>
      </c>
      <c r="J47" s="157" t="s">
        <v>24</v>
      </c>
      <c r="K47" s="157" t="s">
        <v>25</v>
      </c>
      <c r="L47" s="157" t="s">
        <v>26</v>
      </c>
      <c r="M47" s="157" t="s">
        <v>27</v>
      </c>
      <c r="N47" s="157" t="s">
        <v>28</v>
      </c>
      <c r="O47" s="157" t="s">
        <v>17</v>
      </c>
      <c r="P47" s="157" t="s">
        <v>18</v>
      </c>
      <c r="Q47" s="157" t="s">
        <v>19</v>
      </c>
      <c r="R47" s="157" t="s">
        <v>20</v>
      </c>
      <c r="S47" s="157" t="s">
        <v>21</v>
      </c>
      <c r="T47" s="157" t="s">
        <v>22</v>
      </c>
      <c r="U47" s="157" t="s">
        <v>23</v>
      </c>
      <c r="V47" s="157" t="s">
        <v>24</v>
      </c>
      <c r="W47" s="157" t="s">
        <v>25</v>
      </c>
      <c r="X47" s="157" t="s">
        <v>26</v>
      </c>
      <c r="Y47" s="157" t="s">
        <v>27</v>
      </c>
      <c r="Z47" s="157" t="s">
        <v>28</v>
      </c>
      <c r="AA47" s="157" t="s">
        <v>17</v>
      </c>
      <c r="AB47" s="157" t="s">
        <v>18</v>
      </c>
      <c r="AC47" s="157" t="s">
        <v>19</v>
      </c>
      <c r="AD47" s="157" t="s">
        <v>20</v>
      </c>
      <c r="AE47" s="157" t="s">
        <v>21</v>
      </c>
      <c r="AF47" s="157" t="s">
        <v>22</v>
      </c>
      <c r="AG47" s="157" t="s">
        <v>23</v>
      </c>
      <c r="AH47" s="157" t="s">
        <v>24</v>
      </c>
      <c r="AI47" s="157" t="s">
        <v>25</v>
      </c>
      <c r="AJ47" s="157" t="s">
        <v>26</v>
      </c>
      <c r="AK47" s="157" t="s">
        <v>27</v>
      </c>
      <c r="AL47" s="157" t="s">
        <v>28</v>
      </c>
    </row>
    <row r="48" spans="1:40" x14ac:dyDescent="0.25">
      <c r="A48" s="279" t="s">
        <v>38</v>
      </c>
      <c r="B48" s="152">
        <v>50000</v>
      </c>
      <c r="C48" s="163">
        <v>1</v>
      </c>
      <c r="D48" s="163">
        <v>1</v>
      </c>
      <c r="E48" s="163">
        <v>1</v>
      </c>
      <c r="F48" s="163">
        <v>1</v>
      </c>
      <c r="G48" s="163">
        <v>1</v>
      </c>
      <c r="H48" s="163">
        <v>1</v>
      </c>
      <c r="I48" s="163">
        <v>1</v>
      </c>
      <c r="J48" s="163">
        <v>1</v>
      </c>
      <c r="K48" s="163">
        <v>1</v>
      </c>
      <c r="L48" s="163">
        <v>1</v>
      </c>
      <c r="M48" s="163">
        <v>1</v>
      </c>
      <c r="N48" s="163">
        <v>1</v>
      </c>
      <c r="O48" s="163">
        <v>1</v>
      </c>
      <c r="P48" s="163">
        <v>1</v>
      </c>
      <c r="Q48" s="163">
        <v>1</v>
      </c>
      <c r="R48" s="163">
        <v>1</v>
      </c>
      <c r="S48" s="163">
        <v>1</v>
      </c>
      <c r="T48" s="163">
        <v>1</v>
      </c>
      <c r="U48" s="163">
        <v>1</v>
      </c>
      <c r="V48" s="163">
        <v>1</v>
      </c>
      <c r="W48" s="163">
        <v>1</v>
      </c>
      <c r="X48" s="163">
        <v>1</v>
      </c>
      <c r="Y48" s="163">
        <v>1</v>
      </c>
      <c r="Z48" s="163">
        <v>1</v>
      </c>
      <c r="AA48" s="163">
        <v>1</v>
      </c>
      <c r="AB48" s="163">
        <v>1</v>
      </c>
      <c r="AC48" s="163">
        <v>1</v>
      </c>
      <c r="AD48" s="163">
        <v>1</v>
      </c>
      <c r="AE48" s="163">
        <v>1</v>
      </c>
      <c r="AF48" s="163">
        <v>1</v>
      </c>
      <c r="AG48" s="163">
        <v>1</v>
      </c>
      <c r="AH48" s="163">
        <v>1</v>
      </c>
      <c r="AI48" s="163">
        <v>1</v>
      </c>
      <c r="AJ48" s="163">
        <v>1</v>
      </c>
      <c r="AK48" s="163">
        <v>1</v>
      </c>
      <c r="AL48" s="163">
        <v>1</v>
      </c>
    </row>
    <row r="49" spans="1:38" x14ac:dyDescent="0.25">
      <c r="A49" s="279" t="s">
        <v>39</v>
      </c>
      <c r="B49" s="152">
        <v>40000</v>
      </c>
      <c r="C49" s="163"/>
      <c r="D49" s="163">
        <v>1</v>
      </c>
      <c r="E49" s="163">
        <v>1</v>
      </c>
      <c r="F49" s="163">
        <v>1</v>
      </c>
      <c r="G49" s="163">
        <v>1</v>
      </c>
      <c r="H49" s="163">
        <v>1</v>
      </c>
      <c r="I49" s="163">
        <v>1</v>
      </c>
      <c r="J49" s="163">
        <v>1</v>
      </c>
      <c r="K49" s="163">
        <v>1</v>
      </c>
      <c r="L49" s="163">
        <v>1</v>
      </c>
      <c r="M49" s="163">
        <v>1</v>
      </c>
      <c r="N49" s="163">
        <v>1</v>
      </c>
      <c r="O49" s="163">
        <v>1</v>
      </c>
      <c r="P49" s="163">
        <v>1</v>
      </c>
      <c r="Q49" s="163">
        <v>1</v>
      </c>
      <c r="R49" s="163">
        <v>1</v>
      </c>
      <c r="S49" s="163">
        <v>1</v>
      </c>
      <c r="T49" s="163">
        <v>1</v>
      </c>
      <c r="U49" s="163">
        <v>1</v>
      </c>
      <c r="V49" s="163">
        <v>1</v>
      </c>
      <c r="W49" s="163">
        <v>1</v>
      </c>
      <c r="X49" s="163">
        <v>1</v>
      </c>
      <c r="Y49" s="163">
        <v>1</v>
      </c>
      <c r="Z49" s="163">
        <v>1</v>
      </c>
      <c r="AA49" s="163">
        <v>1</v>
      </c>
      <c r="AB49" s="163">
        <v>1</v>
      </c>
      <c r="AC49" s="163">
        <v>1</v>
      </c>
      <c r="AD49" s="163">
        <v>1</v>
      </c>
      <c r="AE49" s="163">
        <v>1</v>
      </c>
      <c r="AF49" s="163">
        <v>1</v>
      </c>
      <c r="AG49" s="163">
        <v>1</v>
      </c>
      <c r="AH49" s="163">
        <v>1</v>
      </c>
      <c r="AI49" s="163">
        <v>1</v>
      </c>
      <c r="AJ49" s="163">
        <v>1</v>
      </c>
      <c r="AK49" s="163">
        <v>1</v>
      </c>
      <c r="AL49" s="163">
        <v>1</v>
      </c>
    </row>
    <row r="50" spans="1:38" x14ac:dyDescent="0.25">
      <c r="A50" s="279" t="s">
        <v>40</v>
      </c>
      <c r="B50" s="152">
        <v>30000</v>
      </c>
      <c r="C50" s="163"/>
      <c r="D50" s="163"/>
      <c r="E50" s="163"/>
      <c r="F50" s="163">
        <v>1</v>
      </c>
      <c r="G50" s="163">
        <v>1</v>
      </c>
      <c r="H50" s="163">
        <v>1</v>
      </c>
      <c r="I50" s="163">
        <v>1</v>
      </c>
      <c r="J50" s="163">
        <v>1</v>
      </c>
      <c r="K50" s="163">
        <v>1</v>
      </c>
      <c r="L50" s="163">
        <v>2</v>
      </c>
      <c r="M50" s="163">
        <v>2</v>
      </c>
      <c r="N50" s="163">
        <v>2</v>
      </c>
      <c r="O50" s="163">
        <v>2</v>
      </c>
      <c r="P50" s="163">
        <v>2</v>
      </c>
      <c r="Q50" s="163">
        <v>2</v>
      </c>
      <c r="R50" s="163">
        <v>2</v>
      </c>
      <c r="S50" s="163">
        <v>2</v>
      </c>
      <c r="T50" s="163">
        <v>2</v>
      </c>
      <c r="U50" s="163">
        <v>2</v>
      </c>
      <c r="V50" s="163">
        <v>2</v>
      </c>
      <c r="W50" s="163">
        <v>2</v>
      </c>
      <c r="X50" s="163">
        <v>2</v>
      </c>
      <c r="Y50" s="163">
        <v>2</v>
      </c>
      <c r="Z50" s="163">
        <v>2</v>
      </c>
      <c r="AA50" s="163">
        <v>2</v>
      </c>
      <c r="AB50" s="163">
        <v>2</v>
      </c>
      <c r="AC50" s="163">
        <v>2</v>
      </c>
      <c r="AD50" s="163">
        <v>2</v>
      </c>
      <c r="AE50" s="163">
        <v>2</v>
      </c>
      <c r="AF50" s="163">
        <v>3</v>
      </c>
      <c r="AG50" s="163">
        <v>3</v>
      </c>
      <c r="AH50" s="163">
        <v>3</v>
      </c>
      <c r="AI50" s="163">
        <v>3</v>
      </c>
      <c r="AJ50" s="163">
        <v>3</v>
      </c>
      <c r="AK50" s="163">
        <v>3</v>
      </c>
      <c r="AL50" s="163">
        <v>3</v>
      </c>
    </row>
    <row r="51" spans="1:38" x14ac:dyDescent="0.25">
      <c r="A51" s="279" t="s">
        <v>41</v>
      </c>
      <c r="B51" s="152">
        <v>35000</v>
      </c>
      <c r="C51" s="163"/>
      <c r="D51" s="163">
        <v>1</v>
      </c>
      <c r="E51" s="163">
        <v>1</v>
      </c>
      <c r="F51" s="163">
        <v>1</v>
      </c>
      <c r="G51" s="163">
        <v>1</v>
      </c>
      <c r="H51" s="163">
        <v>1</v>
      </c>
      <c r="I51" s="163">
        <v>1</v>
      </c>
      <c r="J51" s="163">
        <v>1</v>
      </c>
      <c r="K51" s="163">
        <v>1</v>
      </c>
      <c r="L51" s="163">
        <v>1</v>
      </c>
      <c r="M51" s="163">
        <v>1</v>
      </c>
      <c r="N51" s="163">
        <v>1</v>
      </c>
      <c r="O51" s="163">
        <v>1</v>
      </c>
      <c r="P51" s="163">
        <v>1</v>
      </c>
      <c r="Q51" s="163">
        <v>1</v>
      </c>
      <c r="R51" s="163">
        <v>1</v>
      </c>
      <c r="S51" s="163">
        <v>1</v>
      </c>
      <c r="T51" s="163">
        <v>1</v>
      </c>
      <c r="U51" s="163">
        <v>1</v>
      </c>
      <c r="V51" s="163">
        <v>1</v>
      </c>
      <c r="W51" s="163">
        <v>1</v>
      </c>
      <c r="X51" s="163">
        <v>1</v>
      </c>
      <c r="Y51" s="163">
        <v>1</v>
      </c>
      <c r="Z51" s="163">
        <v>1</v>
      </c>
      <c r="AA51" s="163">
        <v>2</v>
      </c>
      <c r="AB51" s="163">
        <v>2</v>
      </c>
      <c r="AC51" s="163">
        <v>2</v>
      </c>
      <c r="AD51" s="163">
        <v>2</v>
      </c>
      <c r="AE51" s="163">
        <v>2</v>
      </c>
      <c r="AF51" s="163">
        <v>2</v>
      </c>
      <c r="AG51" s="163">
        <v>2</v>
      </c>
      <c r="AH51" s="163">
        <v>2</v>
      </c>
      <c r="AI51" s="163">
        <v>2</v>
      </c>
      <c r="AJ51" s="163">
        <v>2</v>
      </c>
      <c r="AK51" s="163">
        <v>2</v>
      </c>
      <c r="AL51" s="163">
        <v>2</v>
      </c>
    </row>
    <row r="52" spans="1:38" x14ac:dyDescent="0.25">
      <c r="A52" s="279" t="s">
        <v>42</v>
      </c>
      <c r="B52" s="152">
        <v>25000</v>
      </c>
      <c r="C52" s="163"/>
      <c r="D52" s="163"/>
      <c r="E52" s="163">
        <v>1</v>
      </c>
      <c r="F52" s="163">
        <v>1</v>
      </c>
      <c r="G52" s="163">
        <v>1</v>
      </c>
      <c r="H52" s="163">
        <v>1</v>
      </c>
      <c r="I52" s="163">
        <v>1</v>
      </c>
      <c r="J52" s="163">
        <v>1</v>
      </c>
      <c r="K52" s="163">
        <v>1</v>
      </c>
      <c r="L52" s="163">
        <v>1</v>
      </c>
      <c r="M52" s="163">
        <v>1</v>
      </c>
      <c r="N52" s="163">
        <v>1</v>
      </c>
      <c r="O52" s="163">
        <v>2</v>
      </c>
      <c r="P52" s="163">
        <v>2</v>
      </c>
      <c r="Q52" s="163">
        <v>2</v>
      </c>
      <c r="R52" s="163">
        <v>2</v>
      </c>
      <c r="S52" s="163">
        <v>2</v>
      </c>
      <c r="T52" s="163">
        <v>2</v>
      </c>
      <c r="U52" s="163">
        <v>2</v>
      </c>
      <c r="V52" s="163">
        <v>2</v>
      </c>
      <c r="W52" s="163">
        <v>2</v>
      </c>
      <c r="X52" s="163">
        <v>2</v>
      </c>
      <c r="Y52" s="163">
        <v>2</v>
      </c>
      <c r="Z52" s="163">
        <v>2</v>
      </c>
      <c r="AA52" s="163">
        <v>4</v>
      </c>
      <c r="AB52" s="163">
        <v>4</v>
      </c>
      <c r="AC52" s="163">
        <v>4</v>
      </c>
      <c r="AD52" s="163">
        <v>4</v>
      </c>
      <c r="AE52" s="163">
        <v>4</v>
      </c>
      <c r="AF52" s="163">
        <v>4</v>
      </c>
      <c r="AG52" s="163">
        <v>4</v>
      </c>
      <c r="AH52" s="163">
        <v>4</v>
      </c>
      <c r="AI52" s="163">
        <v>4</v>
      </c>
      <c r="AJ52" s="163">
        <v>4</v>
      </c>
      <c r="AK52" s="163">
        <v>4</v>
      </c>
      <c r="AL52" s="163">
        <v>4</v>
      </c>
    </row>
    <row r="53" spans="1:38" x14ac:dyDescent="0.25">
      <c r="A53" s="279" t="s">
        <v>43</v>
      </c>
      <c r="B53" s="152">
        <v>25000</v>
      </c>
      <c r="C53" s="163"/>
      <c r="D53" s="163"/>
      <c r="E53" s="163">
        <v>1</v>
      </c>
      <c r="F53" s="163">
        <v>1</v>
      </c>
      <c r="G53" s="163">
        <v>1</v>
      </c>
      <c r="H53" s="163">
        <v>1</v>
      </c>
      <c r="I53" s="163">
        <v>1</v>
      </c>
      <c r="J53" s="163">
        <v>1</v>
      </c>
      <c r="K53" s="163">
        <v>1</v>
      </c>
      <c r="L53" s="163">
        <v>1</v>
      </c>
      <c r="M53" s="163">
        <v>1</v>
      </c>
      <c r="N53" s="163">
        <v>1</v>
      </c>
      <c r="O53" s="163">
        <v>2</v>
      </c>
      <c r="P53" s="163">
        <v>2</v>
      </c>
      <c r="Q53" s="163">
        <v>2</v>
      </c>
      <c r="R53" s="163">
        <v>2</v>
      </c>
      <c r="S53" s="163">
        <v>2</v>
      </c>
      <c r="T53" s="163">
        <v>2</v>
      </c>
      <c r="U53" s="163">
        <v>2</v>
      </c>
      <c r="V53" s="163">
        <v>2</v>
      </c>
      <c r="W53" s="163">
        <v>2</v>
      </c>
      <c r="X53" s="163">
        <v>2</v>
      </c>
      <c r="Y53" s="163">
        <v>2</v>
      </c>
      <c r="Z53" s="163">
        <v>2</v>
      </c>
      <c r="AA53" s="163">
        <v>4</v>
      </c>
      <c r="AB53" s="163">
        <v>4</v>
      </c>
      <c r="AC53" s="163">
        <v>4</v>
      </c>
      <c r="AD53" s="163">
        <v>4</v>
      </c>
      <c r="AE53" s="163">
        <v>4</v>
      </c>
      <c r="AF53" s="163">
        <v>4</v>
      </c>
      <c r="AG53" s="163">
        <v>4</v>
      </c>
      <c r="AH53" s="163">
        <v>4</v>
      </c>
      <c r="AI53" s="163">
        <v>4</v>
      </c>
      <c r="AJ53" s="163">
        <v>4</v>
      </c>
      <c r="AK53" s="163">
        <v>4</v>
      </c>
      <c r="AL53" s="163">
        <v>4</v>
      </c>
    </row>
    <row r="54" spans="1:38" s="161" customFormat="1" x14ac:dyDescent="0.25">
      <c r="A54" s="160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</row>
    <row r="56" spans="1:38" x14ac:dyDescent="0.25">
      <c r="A56" s="148" t="s">
        <v>141</v>
      </c>
    </row>
    <row r="57" spans="1:38" x14ac:dyDescent="0.25">
      <c r="A57" s="199" t="s">
        <v>193</v>
      </c>
      <c r="B57" s="199"/>
      <c r="C57" s="203" t="s">
        <v>29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5"/>
      <c r="O57" s="203" t="s">
        <v>30</v>
      </c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5"/>
      <c r="AA57" s="203" t="s">
        <v>31</v>
      </c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5"/>
    </row>
    <row r="58" spans="1:38" x14ac:dyDescent="0.25">
      <c r="A58" s="199"/>
      <c r="B58" s="199"/>
      <c r="C58" s="157" t="s">
        <v>17</v>
      </c>
      <c r="D58" s="157" t="s">
        <v>18</v>
      </c>
      <c r="E58" s="157" t="s">
        <v>19</v>
      </c>
      <c r="F58" s="157" t="s">
        <v>20</v>
      </c>
      <c r="G58" s="157" t="s">
        <v>21</v>
      </c>
      <c r="H58" s="157" t="s">
        <v>22</v>
      </c>
      <c r="I58" s="157" t="s">
        <v>23</v>
      </c>
      <c r="J58" s="157" t="s">
        <v>24</v>
      </c>
      <c r="K58" s="157" t="s">
        <v>25</v>
      </c>
      <c r="L58" s="157" t="s">
        <v>26</v>
      </c>
      <c r="M58" s="157" t="s">
        <v>27</v>
      </c>
      <c r="N58" s="157" t="s">
        <v>28</v>
      </c>
      <c r="O58" s="157" t="s">
        <v>17</v>
      </c>
      <c r="P58" s="157" t="s">
        <v>18</v>
      </c>
      <c r="Q58" s="157" t="s">
        <v>19</v>
      </c>
      <c r="R58" s="157" t="s">
        <v>20</v>
      </c>
      <c r="S58" s="157" t="s">
        <v>21</v>
      </c>
      <c r="T58" s="157" t="s">
        <v>22</v>
      </c>
      <c r="U58" s="157" t="s">
        <v>23</v>
      </c>
      <c r="V58" s="157" t="s">
        <v>24</v>
      </c>
      <c r="W58" s="157" t="s">
        <v>25</v>
      </c>
      <c r="X58" s="157" t="s">
        <v>26</v>
      </c>
      <c r="Y58" s="157" t="s">
        <v>27</v>
      </c>
      <c r="Z58" s="157" t="s">
        <v>28</v>
      </c>
      <c r="AA58" s="157" t="s">
        <v>17</v>
      </c>
      <c r="AB58" s="157" t="s">
        <v>18</v>
      </c>
      <c r="AC58" s="157" t="s">
        <v>19</v>
      </c>
      <c r="AD58" s="157" t="s">
        <v>20</v>
      </c>
      <c r="AE58" s="157" t="s">
        <v>21</v>
      </c>
      <c r="AF58" s="157" t="s">
        <v>22</v>
      </c>
      <c r="AG58" s="157" t="s">
        <v>23</v>
      </c>
      <c r="AH58" s="157" t="s">
        <v>24</v>
      </c>
      <c r="AI58" s="157" t="s">
        <v>25</v>
      </c>
      <c r="AJ58" s="157" t="s">
        <v>26</v>
      </c>
      <c r="AK58" s="157" t="s">
        <v>27</v>
      </c>
      <c r="AL58" s="157" t="s">
        <v>28</v>
      </c>
    </row>
    <row r="59" spans="1:38" s="167" customFormat="1" x14ac:dyDescent="0.25">
      <c r="A59" s="208" t="s">
        <v>72</v>
      </c>
      <c r="B59" s="208"/>
      <c r="C59" s="166">
        <v>5000</v>
      </c>
      <c r="D59" s="166">
        <v>5000</v>
      </c>
      <c r="E59" s="166">
        <v>5000</v>
      </c>
      <c r="F59" s="166">
        <v>5000</v>
      </c>
      <c r="G59" s="166">
        <v>5000</v>
      </c>
      <c r="H59" s="166">
        <v>5000</v>
      </c>
      <c r="I59" s="166">
        <v>5000</v>
      </c>
      <c r="J59" s="166">
        <v>5000</v>
      </c>
      <c r="K59" s="166">
        <v>5000</v>
      </c>
      <c r="L59" s="166">
        <v>5000</v>
      </c>
      <c r="M59" s="166">
        <v>5000</v>
      </c>
      <c r="N59" s="166">
        <v>5000</v>
      </c>
      <c r="O59" s="166">
        <v>5000</v>
      </c>
      <c r="P59" s="166">
        <v>5000</v>
      </c>
      <c r="Q59" s="166">
        <v>5000</v>
      </c>
      <c r="R59" s="166">
        <v>5000</v>
      </c>
      <c r="S59" s="166">
        <v>5000</v>
      </c>
      <c r="T59" s="166">
        <v>5000</v>
      </c>
      <c r="U59" s="166">
        <v>5000</v>
      </c>
      <c r="V59" s="166">
        <v>5000</v>
      </c>
      <c r="W59" s="166">
        <v>5000</v>
      </c>
      <c r="X59" s="166">
        <v>5000</v>
      </c>
      <c r="Y59" s="166">
        <v>5000</v>
      </c>
      <c r="Z59" s="166">
        <v>5000</v>
      </c>
      <c r="AA59" s="166">
        <v>5000</v>
      </c>
      <c r="AB59" s="166">
        <v>5000</v>
      </c>
      <c r="AC59" s="166">
        <v>5000</v>
      </c>
      <c r="AD59" s="166">
        <v>5000</v>
      </c>
      <c r="AE59" s="166">
        <v>5000</v>
      </c>
      <c r="AF59" s="166">
        <v>5000</v>
      </c>
      <c r="AG59" s="166">
        <v>5000</v>
      </c>
      <c r="AH59" s="166">
        <v>5000</v>
      </c>
      <c r="AI59" s="166">
        <v>5000</v>
      </c>
      <c r="AJ59" s="166">
        <v>5000</v>
      </c>
      <c r="AK59" s="166">
        <v>5000</v>
      </c>
      <c r="AL59" s="166">
        <v>5000</v>
      </c>
    </row>
    <row r="60" spans="1:38" s="167" customFormat="1" x14ac:dyDescent="0.25">
      <c r="A60" s="208" t="s">
        <v>64</v>
      </c>
      <c r="B60" s="208"/>
      <c r="C60" s="166">
        <v>500</v>
      </c>
      <c r="D60" s="166">
        <v>500</v>
      </c>
      <c r="E60" s="166">
        <v>500</v>
      </c>
      <c r="F60" s="166">
        <v>500</v>
      </c>
      <c r="G60" s="166">
        <v>500</v>
      </c>
      <c r="H60" s="166">
        <v>500</v>
      </c>
      <c r="I60" s="166">
        <v>500</v>
      </c>
      <c r="J60" s="166">
        <v>500</v>
      </c>
      <c r="K60" s="166">
        <v>500</v>
      </c>
      <c r="L60" s="166">
        <v>500</v>
      </c>
      <c r="M60" s="166">
        <v>500</v>
      </c>
      <c r="N60" s="166">
        <v>500</v>
      </c>
      <c r="O60" s="166">
        <v>500</v>
      </c>
      <c r="P60" s="166">
        <v>500</v>
      </c>
      <c r="Q60" s="166">
        <v>500</v>
      </c>
      <c r="R60" s="166">
        <v>500</v>
      </c>
      <c r="S60" s="166">
        <v>500</v>
      </c>
      <c r="T60" s="166">
        <v>500</v>
      </c>
      <c r="U60" s="166">
        <v>500</v>
      </c>
      <c r="V60" s="166">
        <v>500</v>
      </c>
      <c r="W60" s="166">
        <v>500</v>
      </c>
      <c r="X60" s="166">
        <v>500</v>
      </c>
      <c r="Y60" s="166">
        <v>500</v>
      </c>
      <c r="Z60" s="166">
        <v>500</v>
      </c>
      <c r="AA60" s="166">
        <v>500</v>
      </c>
      <c r="AB60" s="166">
        <v>500</v>
      </c>
      <c r="AC60" s="166">
        <v>500</v>
      </c>
      <c r="AD60" s="166">
        <v>500</v>
      </c>
      <c r="AE60" s="166">
        <v>500</v>
      </c>
      <c r="AF60" s="166">
        <v>500</v>
      </c>
      <c r="AG60" s="166">
        <v>500</v>
      </c>
      <c r="AH60" s="166">
        <v>500</v>
      </c>
      <c r="AI60" s="166">
        <v>500</v>
      </c>
      <c r="AJ60" s="166">
        <v>500</v>
      </c>
      <c r="AK60" s="166">
        <v>500</v>
      </c>
      <c r="AL60" s="166">
        <v>500</v>
      </c>
    </row>
    <row r="61" spans="1:38" x14ac:dyDescent="0.25">
      <c r="A61" s="206" t="s">
        <v>65</v>
      </c>
      <c r="B61" s="206"/>
      <c r="C61" s="152">
        <v>1000</v>
      </c>
      <c r="D61" s="152">
        <v>1000</v>
      </c>
      <c r="E61" s="152">
        <v>1000</v>
      </c>
      <c r="F61" s="152">
        <v>1000</v>
      </c>
      <c r="G61" s="152">
        <v>1000</v>
      </c>
      <c r="H61" s="152">
        <v>1000</v>
      </c>
      <c r="I61" s="152">
        <v>1000</v>
      </c>
      <c r="J61" s="152">
        <v>1000</v>
      </c>
      <c r="K61" s="152">
        <v>1000</v>
      </c>
      <c r="L61" s="152">
        <v>1000</v>
      </c>
      <c r="M61" s="152">
        <v>1000</v>
      </c>
      <c r="N61" s="152">
        <v>1000</v>
      </c>
      <c r="O61" s="152">
        <v>1000</v>
      </c>
      <c r="P61" s="152">
        <v>1000</v>
      </c>
      <c r="Q61" s="152">
        <v>1000</v>
      </c>
      <c r="R61" s="152">
        <v>1000</v>
      </c>
      <c r="S61" s="152">
        <v>1000</v>
      </c>
      <c r="T61" s="152">
        <v>1000</v>
      </c>
      <c r="U61" s="152">
        <v>1000</v>
      </c>
      <c r="V61" s="152">
        <v>1000</v>
      </c>
      <c r="W61" s="152">
        <v>1000</v>
      </c>
      <c r="X61" s="152">
        <v>1000</v>
      </c>
      <c r="Y61" s="152">
        <v>1000</v>
      </c>
      <c r="Z61" s="152">
        <v>1000</v>
      </c>
      <c r="AA61" s="152">
        <v>1000</v>
      </c>
      <c r="AB61" s="152">
        <v>1000</v>
      </c>
      <c r="AC61" s="152">
        <v>1000</v>
      </c>
      <c r="AD61" s="152">
        <v>1000</v>
      </c>
      <c r="AE61" s="152">
        <v>1000</v>
      </c>
      <c r="AF61" s="152">
        <v>1000</v>
      </c>
      <c r="AG61" s="152">
        <v>1000</v>
      </c>
      <c r="AH61" s="152">
        <v>1000</v>
      </c>
      <c r="AI61" s="152">
        <v>1000</v>
      </c>
      <c r="AJ61" s="152">
        <v>1000</v>
      </c>
      <c r="AK61" s="152">
        <v>1000</v>
      </c>
      <c r="AL61" s="152">
        <v>1000</v>
      </c>
    </row>
    <row r="62" spans="1:38" ht="31.5" customHeight="1" x14ac:dyDescent="0.25">
      <c r="A62" s="206" t="s">
        <v>66</v>
      </c>
      <c r="B62" s="206"/>
      <c r="C62" s="152">
        <v>450</v>
      </c>
      <c r="D62" s="152">
        <v>450</v>
      </c>
      <c r="E62" s="152">
        <v>450</v>
      </c>
      <c r="F62" s="152">
        <v>450</v>
      </c>
      <c r="G62" s="152">
        <v>450</v>
      </c>
      <c r="H62" s="152">
        <v>450</v>
      </c>
      <c r="I62" s="152">
        <v>450</v>
      </c>
      <c r="J62" s="152">
        <v>450</v>
      </c>
      <c r="K62" s="152">
        <v>450</v>
      </c>
      <c r="L62" s="152">
        <v>450</v>
      </c>
      <c r="M62" s="152">
        <v>450</v>
      </c>
      <c r="N62" s="152">
        <v>450</v>
      </c>
      <c r="O62" s="152">
        <v>450</v>
      </c>
      <c r="P62" s="152">
        <v>450</v>
      </c>
      <c r="Q62" s="152">
        <v>450</v>
      </c>
      <c r="R62" s="152">
        <v>450</v>
      </c>
      <c r="S62" s="152">
        <v>450</v>
      </c>
      <c r="T62" s="152">
        <v>450</v>
      </c>
      <c r="U62" s="152">
        <v>450</v>
      </c>
      <c r="V62" s="152">
        <v>450</v>
      </c>
      <c r="W62" s="152">
        <v>450</v>
      </c>
      <c r="X62" s="152">
        <v>450</v>
      </c>
      <c r="Y62" s="152">
        <v>450</v>
      </c>
      <c r="Z62" s="152">
        <v>450</v>
      </c>
      <c r="AA62" s="152">
        <v>450</v>
      </c>
      <c r="AB62" s="152">
        <v>450</v>
      </c>
      <c r="AC62" s="152">
        <v>450</v>
      </c>
      <c r="AD62" s="152">
        <v>450</v>
      </c>
      <c r="AE62" s="152">
        <v>450</v>
      </c>
      <c r="AF62" s="152">
        <v>450</v>
      </c>
      <c r="AG62" s="152">
        <v>450</v>
      </c>
      <c r="AH62" s="152">
        <v>450</v>
      </c>
      <c r="AI62" s="152">
        <v>450</v>
      </c>
      <c r="AJ62" s="152">
        <v>450</v>
      </c>
      <c r="AK62" s="152">
        <v>450</v>
      </c>
      <c r="AL62" s="152">
        <v>450</v>
      </c>
    </row>
    <row r="63" spans="1:38" x14ac:dyDescent="0.25">
      <c r="A63" s="207" t="s">
        <v>80</v>
      </c>
      <c r="B63" s="207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>
        <v>5000</v>
      </c>
      <c r="P63" s="152">
        <v>5000</v>
      </c>
      <c r="Q63" s="152">
        <v>5000</v>
      </c>
      <c r="R63" s="152">
        <v>5000</v>
      </c>
      <c r="S63" s="152">
        <v>5000</v>
      </c>
      <c r="T63" s="152">
        <v>5000</v>
      </c>
      <c r="U63" s="152">
        <v>5000</v>
      </c>
      <c r="V63" s="152">
        <v>5000</v>
      </c>
      <c r="W63" s="152">
        <v>5000</v>
      </c>
      <c r="X63" s="152">
        <v>5000</v>
      </c>
      <c r="Y63" s="152">
        <v>5000</v>
      </c>
      <c r="Z63" s="152">
        <v>5000</v>
      </c>
      <c r="AA63" s="152">
        <v>5000</v>
      </c>
      <c r="AB63" s="152">
        <v>5000</v>
      </c>
      <c r="AC63" s="152">
        <v>5000</v>
      </c>
      <c r="AD63" s="152">
        <v>5000</v>
      </c>
      <c r="AE63" s="152">
        <v>5000</v>
      </c>
      <c r="AF63" s="152">
        <v>5000</v>
      </c>
      <c r="AG63" s="152">
        <v>5000</v>
      </c>
      <c r="AH63" s="152">
        <v>5000</v>
      </c>
      <c r="AI63" s="152">
        <v>5000</v>
      </c>
      <c r="AJ63" s="152">
        <v>5000</v>
      </c>
      <c r="AK63" s="152">
        <v>5000</v>
      </c>
      <c r="AL63" s="152">
        <v>5000</v>
      </c>
    </row>
    <row r="64" spans="1:38" ht="32.25" customHeight="1" x14ac:dyDescent="0.25">
      <c r="A64" s="206" t="s">
        <v>67</v>
      </c>
      <c r="B64" s="206"/>
      <c r="C64" s="152"/>
      <c r="D64" s="152"/>
      <c r="E64" s="152"/>
      <c r="F64" s="152"/>
      <c r="G64" s="152"/>
      <c r="H64" s="152">
        <v>5000</v>
      </c>
      <c r="I64" s="152">
        <v>5000</v>
      </c>
      <c r="J64" s="152">
        <v>5000</v>
      </c>
      <c r="K64" s="152">
        <v>5000</v>
      </c>
      <c r="L64" s="152">
        <v>5000</v>
      </c>
      <c r="M64" s="152">
        <v>5000</v>
      </c>
      <c r="N64" s="152">
        <v>5000</v>
      </c>
      <c r="O64" s="152">
        <v>10000</v>
      </c>
      <c r="P64" s="152">
        <v>10000</v>
      </c>
      <c r="Q64" s="152">
        <v>10000</v>
      </c>
      <c r="R64" s="152">
        <v>10000</v>
      </c>
      <c r="S64" s="152">
        <v>10000</v>
      </c>
      <c r="T64" s="152">
        <v>10000</v>
      </c>
      <c r="U64" s="152">
        <v>10000</v>
      </c>
      <c r="V64" s="152">
        <v>10000</v>
      </c>
      <c r="W64" s="152">
        <v>10000</v>
      </c>
      <c r="X64" s="152">
        <v>10000</v>
      </c>
      <c r="Y64" s="152">
        <v>10000</v>
      </c>
      <c r="Z64" s="152">
        <v>10000</v>
      </c>
      <c r="AA64" s="152">
        <v>10000</v>
      </c>
      <c r="AB64" s="152">
        <v>10000</v>
      </c>
      <c r="AC64" s="152">
        <v>10000</v>
      </c>
      <c r="AD64" s="152">
        <v>10000</v>
      </c>
      <c r="AE64" s="152">
        <v>10000</v>
      </c>
      <c r="AF64" s="152">
        <v>10000</v>
      </c>
      <c r="AG64" s="152">
        <v>10000</v>
      </c>
      <c r="AH64" s="152">
        <v>10000</v>
      </c>
      <c r="AI64" s="152">
        <v>10000</v>
      </c>
      <c r="AJ64" s="152">
        <v>10000</v>
      </c>
      <c r="AK64" s="152">
        <v>10000</v>
      </c>
      <c r="AL64" s="152">
        <v>10000</v>
      </c>
    </row>
    <row r="65" spans="1:38" x14ac:dyDescent="0.25">
      <c r="A65" s="206" t="s">
        <v>68</v>
      </c>
      <c r="B65" s="206"/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  <c r="K65" s="152">
        <v>100</v>
      </c>
      <c r="L65" s="152">
        <v>100</v>
      </c>
      <c r="M65" s="152">
        <v>100</v>
      </c>
      <c r="N65" s="152">
        <v>100</v>
      </c>
      <c r="O65" s="152">
        <v>100</v>
      </c>
      <c r="P65" s="152">
        <v>100</v>
      </c>
      <c r="Q65" s="152">
        <v>100</v>
      </c>
      <c r="R65" s="152">
        <v>100</v>
      </c>
      <c r="S65" s="152">
        <v>100</v>
      </c>
      <c r="T65" s="152">
        <v>100</v>
      </c>
      <c r="U65" s="152">
        <v>100</v>
      </c>
      <c r="V65" s="152">
        <v>100</v>
      </c>
      <c r="W65" s="152">
        <v>100</v>
      </c>
      <c r="X65" s="152">
        <v>100</v>
      </c>
      <c r="Y65" s="152">
        <v>100</v>
      </c>
      <c r="Z65" s="152">
        <v>100</v>
      </c>
      <c r="AA65" s="152">
        <v>100</v>
      </c>
      <c r="AB65" s="152">
        <v>100</v>
      </c>
      <c r="AC65" s="152">
        <v>100</v>
      </c>
      <c r="AD65" s="152">
        <v>100</v>
      </c>
      <c r="AE65" s="152">
        <v>100</v>
      </c>
      <c r="AF65" s="152">
        <v>100</v>
      </c>
      <c r="AG65" s="152">
        <v>100</v>
      </c>
      <c r="AH65" s="152">
        <v>100</v>
      </c>
      <c r="AI65" s="152">
        <v>100</v>
      </c>
      <c r="AJ65" s="152">
        <v>100</v>
      </c>
      <c r="AK65" s="152">
        <v>100</v>
      </c>
      <c r="AL65" s="152">
        <v>100</v>
      </c>
    </row>
    <row r="66" spans="1:38" x14ac:dyDescent="0.25">
      <c r="A66" s="206" t="s">
        <v>308</v>
      </c>
      <c r="B66" s="206"/>
      <c r="C66" s="152">
        <v>700</v>
      </c>
      <c r="D66" s="152">
        <v>700</v>
      </c>
      <c r="E66" s="152">
        <v>700</v>
      </c>
      <c r="F66" s="152">
        <v>700</v>
      </c>
      <c r="G66" s="152">
        <v>700</v>
      </c>
      <c r="H66" s="152">
        <v>700</v>
      </c>
      <c r="I66" s="152">
        <v>700</v>
      </c>
      <c r="J66" s="152">
        <v>700</v>
      </c>
      <c r="K66" s="152">
        <v>700</v>
      </c>
      <c r="L66" s="152">
        <v>700</v>
      </c>
      <c r="M66" s="152">
        <v>700</v>
      </c>
      <c r="N66" s="152">
        <v>700</v>
      </c>
      <c r="O66" s="152">
        <v>700</v>
      </c>
      <c r="P66" s="152">
        <v>700</v>
      </c>
      <c r="Q66" s="152">
        <v>700</v>
      </c>
      <c r="R66" s="152">
        <v>700</v>
      </c>
      <c r="S66" s="152">
        <v>700</v>
      </c>
      <c r="T66" s="152">
        <v>700</v>
      </c>
      <c r="U66" s="152">
        <v>700</v>
      </c>
      <c r="V66" s="152">
        <v>700</v>
      </c>
      <c r="W66" s="152">
        <v>700</v>
      </c>
      <c r="X66" s="152">
        <v>700</v>
      </c>
      <c r="Y66" s="152">
        <v>700</v>
      </c>
      <c r="Z66" s="152">
        <v>700</v>
      </c>
      <c r="AA66" s="152">
        <v>700</v>
      </c>
      <c r="AB66" s="152">
        <v>700</v>
      </c>
      <c r="AC66" s="152">
        <v>700</v>
      </c>
      <c r="AD66" s="152">
        <v>700</v>
      </c>
      <c r="AE66" s="152">
        <v>700</v>
      </c>
      <c r="AF66" s="152">
        <v>700</v>
      </c>
      <c r="AG66" s="152">
        <v>700</v>
      </c>
      <c r="AH66" s="152">
        <v>700</v>
      </c>
      <c r="AI66" s="152">
        <v>700</v>
      </c>
      <c r="AJ66" s="152">
        <v>700</v>
      </c>
      <c r="AK66" s="152">
        <v>700</v>
      </c>
      <c r="AL66" s="152">
        <v>700</v>
      </c>
    </row>
    <row r="68" spans="1:38" x14ac:dyDescent="0.25">
      <c r="A68" s="148" t="s">
        <v>169</v>
      </c>
    </row>
    <row r="69" spans="1:38" x14ac:dyDescent="0.25">
      <c r="A69" s="202" t="s">
        <v>194</v>
      </c>
      <c r="B69" s="199" t="s">
        <v>121</v>
      </c>
      <c r="C69" s="203" t="s">
        <v>29</v>
      </c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5"/>
      <c r="O69" s="203" t="s">
        <v>30</v>
      </c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5"/>
      <c r="AA69" s="203" t="s">
        <v>31</v>
      </c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5"/>
    </row>
    <row r="70" spans="1:38" x14ac:dyDescent="0.25">
      <c r="A70" s="202"/>
      <c r="B70" s="199"/>
      <c r="C70" s="157" t="s">
        <v>17</v>
      </c>
      <c r="D70" s="157" t="s">
        <v>18</v>
      </c>
      <c r="E70" s="157" t="s">
        <v>19</v>
      </c>
      <c r="F70" s="157" t="s">
        <v>20</v>
      </c>
      <c r="G70" s="157" t="s">
        <v>21</v>
      </c>
      <c r="H70" s="157" t="s">
        <v>22</v>
      </c>
      <c r="I70" s="157" t="s">
        <v>23</v>
      </c>
      <c r="J70" s="157" t="s">
        <v>24</v>
      </c>
      <c r="K70" s="157" t="s">
        <v>25</v>
      </c>
      <c r="L70" s="157" t="s">
        <v>26</v>
      </c>
      <c r="M70" s="157" t="s">
        <v>27</v>
      </c>
      <c r="N70" s="157" t="s">
        <v>28</v>
      </c>
      <c r="O70" s="157" t="s">
        <v>17</v>
      </c>
      <c r="P70" s="157" t="s">
        <v>18</v>
      </c>
      <c r="Q70" s="157" t="s">
        <v>19</v>
      </c>
      <c r="R70" s="157" t="s">
        <v>20</v>
      </c>
      <c r="S70" s="157" t="s">
        <v>21</v>
      </c>
      <c r="T70" s="157" t="s">
        <v>22</v>
      </c>
      <c r="U70" s="157" t="s">
        <v>23</v>
      </c>
      <c r="V70" s="157" t="s">
        <v>24</v>
      </c>
      <c r="W70" s="157" t="s">
        <v>25</v>
      </c>
      <c r="X70" s="157" t="s">
        <v>26</v>
      </c>
      <c r="Y70" s="157" t="s">
        <v>27</v>
      </c>
      <c r="Z70" s="157" t="s">
        <v>28</v>
      </c>
      <c r="AA70" s="157" t="s">
        <v>17</v>
      </c>
      <c r="AB70" s="157" t="s">
        <v>18</v>
      </c>
      <c r="AC70" s="157" t="s">
        <v>19</v>
      </c>
      <c r="AD70" s="157" t="s">
        <v>20</v>
      </c>
      <c r="AE70" s="157" t="s">
        <v>21</v>
      </c>
      <c r="AF70" s="157" t="s">
        <v>22</v>
      </c>
      <c r="AG70" s="157" t="s">
        <v>23</v>
      </c>
      <c r="AH70" s="157" t="s">
        <v>24</v>
      </c>
      <c r="AI70" s="157" t="s">
        <v>25</v>
      </c>
      <c r="AJ70" s="157" t="s">
        <v>26</v>
      </c>
      <c r="AK70" s="157" t="s">
        <v>27</v>
      </c>
      <c r="AL70" s="157" t="s">
        <v>28</v>
      </c>
    </row>
    <row r="71" spans="1:38" x14ac:dyDescent="0.25">
      <c r="A71" s="281" t="s">
        <v>50</v>
      </c>
      <c r="B71" s="168">
        <v>3</v>
      </c>
      <c r="C71" s="152">
        <v>2000000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</row>
    <row r="72" spans="1:38" x14ac:dyDescent="0.25">
      <c r="A72" s="281" t="s">
        <v>51</v>
      </c>
      <c r="B72" s="168">
        <v>2</v>
      </c>
      <c r="C72" s="152"/>
      <c r="D72" s="152"/>
      <c r="E72" s="152"/>
      <c r="F72" s="152"/>
      <c r="G72" s="152"/>
      <c r="H72" s="152">
        <v>200000</v>
      </c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</row>
    <row r="73" spans="1:38" x14ac:dyDescent="0.25">
      <c r="A73" s="281" t="s">
        <v>52</v>
      </c>
      <c r="B73" s="168">
        <v>2</v>
      </c>
      <c r="C73" s="152"/>
      <c r="D73" s="152"/>
      <c r="E73" s="152"/>
      <c r="F73" s="152"/>
      <c r="G73" s="152"/>
      <c r="H73" s="152"/>
      <c r="I73" s="152"/>
      <c r="J73" s="152"/>
      <c r="K73" s="152">
        <v>300000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</row>
    <row r="74" spans="1:38" ht="32.25" customHeight="1" x14ac:dyDescent="0.25">
      <c r="A74" s="213" t="s">
        <v>309</v>
      </c>
      <c r="B74" s="214"/>
      <c r="C74" s="152">
        <v>1000000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</row>
    <row r="75" spans="1:38" s="161" customFormat="1" hidden="1" outlineLevel="1" x14ac:dyDescent="0.25">
      <c r="A75" s="169" t="s">
        <v>122</v>
      </c>
      <c r="B75" s="169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</row>
    <row r="76" spans="1:38" s="161" customFormat="1" hidden="1" outlineLevel="1" x14ac:dyDescent="0.25">
      <c r="A76" s="170" t="str">
        <f>A71</f>
        <v>Оборудование 1</v>
      </c>
      <c r="B76" s="171"/>
      <c r="C76" s="172">
        <f>IF(B76=0,IF(C71=0,0,C71/($B71*12)),IF(SUM(B$76:$C76)=SUM($C$71:C71),0,B76))</f>
        <v>55555.555555555555</v>
      </c>
      <c r="D76" s="172">
        <f>IF(C76=0,IF(D71=0,0,D71/($B71*12)),IF(SUM($C$76:C76)=SUM($C$71:D71),0,C76))</f>
        <v>55555.555555555555</v>
      </c>
      <c r="E76" s="172">
        <f>IF(D76=0,IF(E71=0,0,E71/($B71*12)),IF(SUM($C$76:D76)=SUM($C$71:E71),0,D76))</f>
        <v>55555.555555555555</v>
      </c>
      <c r="F76" s="172">
        <f>IF(E76=0,IF(F71=0,0,F71/($B71*12)),IF(SUM($C$76:E76)=SUM($C$71:F71),0,E76))</f>
        <v>55555.555555555555</v>
      </c>
      <c r="G76" s="172">
        <f>IF(F76=0,IF(G71=0,0,G71/($B71*12)),IF(SUM($C$76:F76)=SUM($C$71:G71),0,F76))</f>
        <v>55555.555555555555</v>
      </c>
      <c r="H76" s="172">
        <f>IF(G76=0,IF(H71=0,0,H71/($B71*12)),IF(SUM($C$76:G76)=SUM($C$71:H71),0,G76))</f>
        <v>55555.555555555555</v>
      </c>
      <c r="I76" s="172">
        <f>IF(H76=0,IF(I71=0,0,I71/($B71*12)),IF(SUM($C$76:H76)=SUM($C$71:I71),0,H76))</f>
        <v>55555.555555555555</v>
      </c>
      <c r="J76" s="172">
        <f>IF(I76=0,IF(J71=0,0,J71/($B71*12)),IF(SUM($C$76:I76)=SUM($C$71:J71),0,I76))</f>
        <v>55555.555555555555</v>
      </c>
      <c r="K76" s="172">
        <f>IF(J76=0,IF(K71=0,0,K71/($B71*12)),IF(SUM($C$76:J76)=SUM($C$71:K71),0,J76))</f>
        <v>55555.555555555555</v>
      </c>
      <c r="L76" s="172">
        <f>IF(K76=0,IF(L71=0,0,L71/($B71*12)),IF(SUM($C$76:K76)=SUM($C$71:L71),0,K76))</f>
        <v>55555.555555555555</v>
      </c>
      <c r="M76" s="172">
        <f>IF(L76=0,IF(M71=0,0,M71/($B71*12)),IF(SUM($C$76:L76)=SUM($C$71:M71),0,L76))</f>
        <v>55555.555555555555</v>
      </c>
      <c r="N76" s="172">
        <f>IF(M76=0,IF(N71=0,0,N71/($B71*12)),IF(SUM($C$76:M76)=SUM($C$71:N71),0,M76))</f>
        <v>55555.555555555555</v>
      </c>
      <c r="O76" s="172">
        <f>IF(N76=0,IF(O71=0,0,O71/($B71*12)),IF(SUM($C$76:N76)=SUM($C$71:O71),0,N76))</f>
        <v>55555.555555555555</v>
      </c>
      <c r="P76" s="172">
        <f>IF(O76=0,IF(P71=0,0,P71/($B71*12)),IF(SUM($C$76:O76)=SUM($C$71:P71),0,O76))</f>
        <v>55555.555555555555</v>
      </c>
      <c r="Q76" s="172">
        <f>IF(P76=0,IF(Q71=0,0,Q71/($B71*12)),IF(SUM($C$76:P76)=SUM($C$71:Q71),0,P76))</f>
        <v>55555.555555555555</v>
      </c>
      <c r="R76" s="172">
        <f>IF(Q76=0,IF(R71=0,0,R71/($B71*12)),IF(SUM($C$76:Q76)=SUM($C$71:R71),0,Q76))</f>
        <v>55555.555555555555</v>
      </c>
      <c r="S76" s="172">
        <f>IF(R76=0,IF(S71=0,0,S71/($B71*12)),IF(SUM($C$76:R76)=SUM($C$71:S71),0,R76))</f>
        <v>55555.555555555555</v>
      </c>
      <c r="T76" s="172">
        <f>IF(S76=0,IF(T71=0,0,T71/($B71*12)),IF(SUM($C$76:S76)=SUM($C$71:T71),0,S76))</f>
        <v>55555.555555555555</v>
      </c>
      <c r="U76" s="172">
        <f>IF(T76=0,IF(U71=0,0,U71/($B71*12)),IF(SUM($C$76:T76)=SUM($C$71:U71),0,T76))</f>
        <v>55555.555555555555</v>
      </c>
      <c r="V76" s="172">
        <f>IF(U76=0,IF(V71=0,0,V71/($B71*12)),IF(SUM($C$76:U76)=SUM($C$71:V71),0,U76))</f>
        <v>55555.555555555555</v>
      </c>
      <c r="W76" s="172">
        <f>IF(V76=0,IF(W71=0,0,W71/($B71*12)),IF(SUM($C$76:V76)=SUM($C$71:W71),0,V76))</f>
        <v>55555.555555555555</v>
      </c>
      <c r="X76" s="172">
        <f>IF(W76=0,IF(X71=0,0,X71/($B71*12)),IF(SUM($C$76:W76)=SUM($C$71:X71),0,W76))</f>
        <v>55555.555555555555</v>
      </c>
      <c r="Y76" s="172">
        <f>IF(X76=0,IF(Y71=0,0,Y71/($B71*12)),IF(SUM($C$76:X76)=SUM($C$71:Y71),0,X76))</f>
        <v>55555.555555555555</v>
      </c>
      <c r="Z76" s="172">
        <f>IF(Y76=0,IF(Z71=0,0,Z71/($B71*12)),IF(SUM($C$76:Y76)=SUM($C$71:Z71),0,Y76))</f>
        <v>55555.555555555555</v>
      </c>
      <c r="AA76" s="172">
        <f>IF(Z76=0,IF(AA71=0,0,AA71/($B71*12)),IF(SUM($C$76:Z76)=SUM($C$71:AA71),0,Z76))</f>
        <v>55555.555555555555</v>
      </c>
      <c r="AB76" s="172">
        <f>IF(AA76=0,IF(AB71=0,0,AB71/($B71*12)),IF(SUM($C$76:AA76)=SUM($C$71:AB71),0,AA76))</f>
        <v>55555.555555555555</v>
      </c>
      <c r="AC76" s="172">
        <f>IF(AB76=0,IF(AC71=0,0,AC71/($B71*12)),IF(SUM($C$76:AB76)=SUM($C$71:AC71),0,AB76))</f>
        <v>55555.555555555555</v>
      </c>
      <c r="AD76" s="172">
        <f>IF(AC76=0,IF(AD71=0,0,AD71/($B71*12)),IF(SUM($C$76:AC76)=SUM($C$71:AD71),0,AC76))</f>
        <v>55555.555555555555</v>
      </c>
      <c r="AE76" s="172">
        <f>IF(AD76=0,IF(AE71=0,0,AE71/($B71*12)),IF(SUM($C$76:AD76)=SUM($C$71:AE71),0,AD76))</f>
        <v>55555.555555555555</v>
      </c>
      <c r="AF76" s="172">
        <f>IF(AE76=0,IF(AF71=0,0,AF71/($B71*12)),IF(SUM($C$76:AE76)=SUM($C$71:AF71),0,AE76))</f>
        <v>55555.555555555555</v>
      </c>
      <c r="AG76" s="172">
        <f>IF(AF76=0,IF(AG71=0,0,AG71/($B71*12)),IF(SUM($C$76:AF76)=SUM($C$71:AG71),0,AF76))</f>
        <v>55555.555555555555</v>
      </c>
      <c r="AH76" s="172">
        <f>IF(AG76=0,IF(AH71=0,0,AH71/($B71*12)),IF(SUM($C$76:AG76)=SUM($C$71:AH71),0,AG76))</f>
        <v>55555.555555555555</v>
      </c>
      <c r="AI76" s="172">
        <f>IF(AH76=0,IF(AI71=0,0,AI71/($B71*12)),IF(SUM($C$76:AH76)=SUM($C$71:AI71),0,AH76))</f>
        <v>55555.555555555555</v>
      </c>
      <c r="AJ76" s="172">
        <f>IF(AI76=0,IF(AJ71=0,0,AJ71/($B71*12)),IF(SUM($C$76:AI76)=SUM($C$71:AJ71),0,AI76))</f>
        <v>55555.555555555555</v>
      </c>
      <c r="AK76" s="172">
        <f>IF(AJ76=0,IF(AK71=0,0,AK71/($B71*12)),IF(SUM($C$76:AJ76)=SUM($C$71:AK71),0,AJ76))</f>
        <v>55555.555555555555</v>
      </c>
      <c r="AL76" s="172">
        <f>IF(AK76=0,IF(AL71=0,0,AL71/($B71*12)),IF(SUM($C$76:AK76)=SUM($C$71:AL71),0,AK76))</f>
        <v>55555.555555555555</v>
      </c>
    </row>
    <row r="77" spans="1:38" s="161" customFormat="1" hidden="1" outlineLevel="1" x14ac:dyDescent="0.25">
      <c r="A77" s="170" t="str">
        <f>A72</f>
        <v>Оборудование 2</v>
      </c>
      <c r="B77" s="171"/>
      <c r="C77" s="172">
        <f>IF(B77=0,IF(C72=0,0,C72/($B72*12)),IF(SUM(B$77:$C77)=SUM($C$72:C72),0,B77))</f>
        <v>0</v>
      </c>
      <c r="D77" s="172">
        <f>IF(C77=0,IF(D72=0,0,D72/($B72*12)),IF(SUM(C$77:$C77)=SUM($C$72:D72),0,C77))</f>
        <v>0</v>
      </c>
      <c r="E77" s="172">
        <f>IF(D77=0,IF(E72=0,0,E72/($B72*12)),IF(SUM($C$77:D77)=SUM($C$72:E72),0,D77))</f>
        <v>0</v>
      </c>
      <c r="F77" s="172">
        <f>IF(E77=0,IF(F72=0,0,F72/($B72*12)),IF(SUM($C$77:E77)=SUM($C$72:F72),0,E77))</f>
        <v>0</v>
      </c>
      <c r="G77" s="172">
        <f>IF(F77=0,IF(G72=0,0,G72/($B72*12)),IF(SUM($C$77:F77)=SUM($C$72:G72),0,F77))</f>
        <v>0</v>
      </c>
      <c r="H77" s="172">
        <f>IF(G77=0,IF(H72=0,0,H72/($B72*12)),IF(SUM($C$77:G77)=SUM($C$72:H72),0,G77))</f>
        <v>8333.3333333333339</v>
      </c>
      <c r="I77" s="172">
        <f>IF(H77=0,IF(I72=0,0,I72/($B72*12)),IF(SUM($C$77:H77)=SUM($C$72:I72),0,H77))</f>
        <v>8333.3333333333339</v>
      </c>
      <c r="J77" s="172">
        <f>IF(I77=0,IF(J72=0,0,J72/($B72*12)),IF(SUM($C$77:I77)=SUM($C$72:J72),0,I77))</f>
        <v>8333.3333333333339</v>
      </c>
      <c r="K77" s="172">
        <f>IF(J77=0,IF(K72=0,0,K72/($B72*12)),IF(SUM($C$77:J77)=SUM($C$72:K72),0,J77))</f>
        <v>8333.3333333333339</v>
      </c>
      <c r="L77" s="172">
        <f>IF(K77=0,IF(L72=0,0,L72/($B72*12)),IF(SUM($C$77:K77)=SUM($C$72:L72),0,K77))</f>
        <v>8333.3333333333339</v>
      </c>
      <c r="M77" s="172">
        <f>IF(L77=0,IF(M72=0,0,M72/($B72*12)),IF(SUM($C$77:L77)=SUM($C$72:M72),0,L77))</f>
        <v>8333.3333333333339</v>
      </c>
      <c r="N77" s="172">
        <f>IF(M77=0,IF(N72=0,0,N72/($B72*12)),IF(SUM($C$77:M77)=SUM($C$72:N72),0,M77))</f>
        <v>8333.3333333333339</v>
      </c>
      <c r="O77" s="172">
        <f>IF(N77=0,IF(O72=0,0,O72/($B72*12)),IF(SUM($C$77:N77)=SUM($C$72:O72),0,N77))</f>
        <v>8333.3333333333339</v>
      </c>
      <c r="P77" s="172">
        <f>IF(O77=0,IF(P72=0,0,P72/($B72*12)),IF(SUM($C$77:O77)=SUM($C$72:P72),0,O77))</f>
        <v>8333.3333333333339</v>
      </c>
      <c r="Q77" s="172">
        <f>IF(P77=0,IF(Q72=0,0,Q72/($B72*12)),IF(SUM($C$77:P77)=SUM($C$72:Q72),0,P77))</f>
        <v>8333.3333333333339</v>
      </c>
      <c r="R77" s="172">
        <f>IF(Q77=0,IF(R72=0,0,R72/($B72*12)),IF(SUM($C$77:Q77)=SUM($C$72:R72),0,Q77))</f>
        <v>8333.3333333333339</v>
      </c>
      <c r="S77" s="172">
        <f>IF(R77=0,IF(S72=0,0,S72/($B72*12)),IF(SUM($C$77:R77)=SUM($C$72:S72),0,R77))</f>
        <v>8333.3333333333339</v>
      </c>
      <c r="T77" s="172">
        <f>IF(S77=0,IF(T72=0,0,T72/($B72*12)),IF(SUM($C$77:S77)=SUM($C$72:T72),0,S77))</f>
        <v>8333.3333333333339</v>
      </c>
      <c r="U77" s="172">
        <f>IF(T77=0,IF(U72=0,0,U72/($B72*12)),IF(SUM($C$77:T77)=SUM($C$72:U72),0,T77))</f>
        <v>8333.3333333333339</v>
      </c>
      <c r="V77" s="172">
        <f>IF(U77=0,IF(V72=0,0,V72/($B72*12)),IF(SUM($C$77:U77)=SUM($C$72:V72),0,U77))</f>
        <v>8333.3333333333339</v>
      </c>
      <c r="W77" s="172">
        <f>IF(V77=0,IF(W72=0,0,W72/($B72*12)),IF(SUM($C$77:V77)=SUM($C$72:W72),0,V77))</f>
        <v>8333.3333333333339</v>
      </c>
      <c r="X77" s="172">
        <f>IF(W77=0,IF(X72=0,0,X72/($B72*12)),IF(SUM($C$77:W77)=SUM($C$72:X72),0,W77))</f>
        <v>8333.3333333333339</v>
      </c>
      <c r="Y77" s="172">
        <f>IF(X77=0,IF(Y72=0,0,Y72/($B72*12)),IF(SUM($C$77:X77)=SUM($C$72:Y72),0,X77))</f>
        <v>8333.3333333333339</v>
      </c>
      <c r="Z77" s="172">
        <f>IF(Y77=0,IF(Z72=0,0,Z72/($B72*12)),IF(SUM($C$77:Y77)=SUM($C$72:Z72),0,Y77))</f>
        <v>8333.3333333333339</v>
      </c>
      <c r="AA77" s="172">
        <f>IF(Z77=0,IF(AA72=0,0,AA72/($B72*12)),IF(SUM($C$77:Z77)=SUM($C$72:AA72),0,Z77))</f>
        <v>8333.3333333333339</v>
      </c>
      <c r="AB77" s="172">
        <f>IF(AA77=0,IF(AB72=0,0,AB72/($B72*12)),IF(SUM($C$77:AA77)=SUM($C$72:AB72),0,AA77))</f>
        <v>8333.3333333333339</v>
      </c>
      <c r="AC77" s="172">
        <f>IF(AB77=0,IF(AC72=0,0,AC72/($B72*12)),IF(SUM($C$77:AB77)=SUM($C$72:AC72),0,AB77))</f>
        <v>8333.3333333333339</v>
      </c>
      <c r="AD77" s="172">
        <f>IF(AC77=0,IF(AD72=0,0,AD72/($B72*12)),IF(SUM($C$77:AC77)=SUM($C$72:AD72),0,AC77))</f>
        <v>8333.3333333333339</v>
      </c>
      <c r="AE77" s="172">
        <f>IF(AD77=0,IF(AE72=0,0,AE72/($B72*12)),IF(SUM($C$77:AD77)=SUM($C$72:AE72),0,AD77))</f>
        <v>8333.3333333333339</v>
      </c>
      <c r="AF77" s="172">
        <f>IF(AE77=0,IF(AF72=0,0,AF72/($B72*12)),IF(SUM($C$77:AE77)=SUM($C$72:AF72),0,AE77))</f>
        <v>0</v>
      </c>
      <c r="AG77" s="172">
        <f>IF(AF77=0,IF(AG72=0,0,AG72/($B72*12)),IF(SUM($C$77:AF77)=SUM($C$72:AG72),0,AF77))</f>
        <v>0</v>
      </c>
      <c r="AH77" s="172">
        <f>IF(AG77=0,IF(AH72=0,0,AH72/($B72*12)),IF(SUM($C$77:AG77)=SUM($C$72:AH72),0,AG77))</f>
        <v>0</v>
      </c>
      <c r="AI77" s="172">
        <f>IF(AH77=0,IF(AI72=0,0,AI72/($B72*12)),IF(SUM($C$77:AH77)=SUM($C$72:AI72),0,AH77))</f>
        <v>0</v>
      </c>
      <c r="AJ77" s="172">
        <f>IF(AI77=0,IF(AJ72=0,0,AJ72/($B72*12)),IF(SUM($C$77:AI77)=SUM($C$72:AJ72),0,AI77))</f>
        <v>0</v>
      </c>
      <c r="AK77" s="172">
        <f>IF(AJ77=0,IF(AK72=0,0,AK72/($B72*12)),IF(SUM($C$77:AJ77)=SUM($C$72:AK72),0,AJ77))</f>
        <v>0</v>
      </c>
      <c r="AL77" s="172">
        <f>IF(AK77=0,IF(AL72=0,0,AL72/($B72*12)),IF(SUM($C$77:AK77)=SUM($C$72:AL72),0,AK77))</f>
        <v>0</v>
      </c>
    </row>
    <row r="78" spans="1:38" s="161" customFormat="1" hidden="1" outlineLevel="1" x14ac:dyDescent="0.25">
      <c r="A78" s="170" t="str">
        <f>A73</f>
        <v>Оборудование 3</v>
      </c>
      <c r="B78" s="171"/>
      <c r="C78" s="172">
        <f>IF(B78=0,IF(C73=0,0,C73/($B73*12)),IF(SUM(B$78:$C78)=SUM($C$73:C73),0,B78))</f>
        <v>0</v>
      </c>
      <c r="D78" s="172">
        <f>IF(C78=0,IF(D73=0,0,D73/($B73*12)),IF(SUM(C$78:$C78)=SUM($C$73:D73),0,C78))</f>
        <v>0</v>
      </c>
      <c r="E78" s="172">
        <f>IF(D78=0,IF(E73=0,0,E73/($B73*12)),IF(SUM($C$78:D78)=SUM($C$73:E73),0,D78))</f>
        <v>0</v>
      </c>
      <c r="F78" s="172">
        <f>IF(E78=0,IF(F73=0,0,F73/($B73*12)),IF(SUM($C$78:E78)=SUM($C$73:F73),0,E78))</f>
        <v>0</v>
      </c>
      <c r="G78" s="172">
        <f>IF(F78=0,IF(G73=0,0,G73/($B73*12)),IF(SUM($C$78:F78)=SUM($C$73:G73),0,F78))</f>
        <v>0</v>
      </c>
      <c r="H78" s="172">
        <f>IF(G78=0,IF(H73=0,0,H73/($B73*12)),IF(SUM($C$78:G78)=SUM($C$73:H73),0,G78))</f>
        <v>0</v>
      </c>
      <c r="I78" s="172">
        <f>IF(H78=0,IF(I73=0,0,I73/($B73*12)),IF(SUM($C$78:H78)=SUM($C$73:I73),0,H78))</f>
        <v>0</v>
      </c>
      <c r="J78" s="172">
        <f>IF(I78=0,IF(J73=0,0,J73/($B73*12)),IF(SUM($C$78:I78)=SUM($C$73:J73),0,I78))</f>
        <v>0</v>
      </c>
      <c r="K78" s="172">
        <f>IF(J78=0,IF(K73=0,0,K73/($B73*12)),IF(SUM($C$78:J78)=SUM($C$73:K73),0,J78))</f>
        <v>12500</v>
      </c>
      <c r="L78" s="172">
        <f>IF(K78=0,IF(L73=0,0,L73/($B73*12)),IF(SUM($C$78:K78)=SUM($C$73:L73),0,K78))</f>
        <v>12500</v>
      </c>
      <c r="M78" s="172">
        <f>IF(L78=0,IF(M73=0,0,M73/($B73*12)),IF(SUM($C$78:L78)=SUM($C$73:M73),0,L78))</f>
        <v>12500</v>
      </c>
      <c r="N78" s="172">
        <f>IF(M78=0,IF(N73=0,0,N73/($B73*12)),IF(SUM($C$78:M78)=SUM($C$73:N73),0,M78))</f>
        <v>12500</v>
      </c>
      <c r="O78" s="172">
        <f>IF(N78=0,IF(O73=0,0,O73/($B73*12)),IF(SUM($C$78:N78)=SUM($C$73:O73),0,N78))</f>
        <v>12500</v>
      </c>
      <c r="P78" s="172">
        <f>IF(O78=0,IF(P73=0,0,P73/($B73*12)),IF(SUM($C$78:O78)=SUM($C$73:P73),0,O78))</f>
        <v>12500</v>
      </c>
      <c r="Q78" s="172">
        <f>IF(P78=0,IF(Q73=0,0,Q73/($B73*12)),IF(SUM($C$78:P78)=SUM($C$73:Q73),0,P78))</f>
        <v>12500</v>
      </c>
      <c r="R78" s="172">
        <f>IF(Q78=0,IF(R73=0,0,R73/($B73*12)),IF(SUM($C$78:Q78)=SUM($C$73:R73),0,Q78))</f>
        <v>12500</v>
      </c>
      <c r="S78" s="172">
        <f>IF(R78=0,IF(S73=0,0,S73/($B73*12)),IF(SUM($C$78:R78)=SUM($C$73:S73),0,R78))</f>
        <v>12500</v>
      </c>
      <c r="T78" s="172">
        <f>IF(S78=0,IF(T73=0,0,T73/($B73*12)),IF(SUM($C$78:S78)=SUM($C$73:T73),0,S78))</f>
        <v>12500</v>
      </c>
      <c r="U78" s="172">
        <f>IF(T78=0,IF(U73=0,0,U73/($B73*12)),IF(SUM($C$78:T78)=SUM($C$73:U73),0,T78))</f>
        <v>12500</v>
      </c>
      <c r="V78" s="172">
        <f>IF(U78=0,IF(V73=0,0,V73/($B73*12)),IF(SUM($C$78:U78)=SUM($C$73:V73),0,U78))</f>
        <v>12500</v>
      </c>
      <c r="W78" s="172">
        <f>IF(V78=0,IF(W73=0,0,W73/($B73*12)),IF(SUM($C$78:V78)=SUM($C$73:W73),0,V78))</f>
        <v>12500</v>
      </c>
      <c r="X78" s="172">
        <f>IF(W78=0,IF(X73=0,0,X73/($B73*12)),IF(SUM($C$78:W78)=SUM($C$73:X73),0,W78))</f>
        <v>12500</v>
      </c>
      <c r="Y78" s="172">
        <f>IF(X78=0,IF(Y73=0,0,Y73/($B73*12)),IF(SUM($C$78:X78)=SUM($C$73:Y73),0,X78))</f>
        <v>12500</v>
      </c>
      <c r="Z78" s="172">
        <f>IF(Y78=0,IF(Z73=0,0,Z73/($B73*12)),IF(SUM($C$78:Y78)=SUM($C$73:Z73),0,Y78))</f>
        <v>12500</v>
      </c>
      <c r="AA78" s="172">
        <f>IF(Z78=0,IF(AA73=0,0,AA73/($B73*12)),IF(SUM($C$78:Z78)=SUM($C$73:AA73),0,Z78))</f>
        <v>12500</v>
      </c>
      <c r="AB78" s="172">
        <f>IF(AA78=0,IF(AB73=0,0,AB73/($B73*12)),IF(SUM($C$78:AA78)=SUM($C$73:AB73),0,AA78))</f>
        <v>12500</v>
      </c>
      <c r="AC78" s="172">
        <f>IF(AB78=0,IF(AC73=0,0,AC73/($B73*12)),IF(SUM($C$78:AB78)=SUM($C$73:AC73),0,AB78))</f>
        <v>12500</v>
      </c>
      <c r="AD78" s="172">
        <f>IF(AC78=0,IF(AD73=0,0,AD73/($B73*12)),IF(SUM($C$78:AC78)=SUM($C$73:AD73),0,AC78))</f>
        <v>12500</v>
      </c>
      <c r="AE78" s="172">
        <f>IF(AD78=0,IF(AE73=0,0,AE73/($B73*12)),IF(SUM($C$78:AD78)=SUM($C$73:AE73),0,AD78))</f>
        <v>12500</v>
      </c>
      <c r="AF78" s="172">
        <f>IF(AE78=0,IF(AF73=0,0,AF73/($B73*12)),IF(SUM($C$78:AE78)=SUM($C$73:AF73),0,AE78))</f>
        <v>12500</v>
      </c>
      <c r="AG78" s="172">
        <f>IF(AF78=0,IF(AG73=0,0,AG73/($B73*12)),IF(SUM($C$78:AF78)=SUM($C$73:AG73),0,AF78))</f>
        <v>12500</v>
      </c>
      <c r="AH78" s="172">
        <f>IF(AG78=0,IF(AH73=0,0,AH73/($B73*12)),IF(SUM($C$78:AG78)=SUM($C$73:AH73),0,AG78))</f>
        <v>12500</v>
      </c>
      <c r="AI78" s="172">
        <f>IF(AH78=0,IF(AI73=0,0,AI73/($B73*12)),IF(SUM($C$78:AH78)=SUM($C$73:AI73),0,AH78))</f>
        <v>0</v>
      </c>
      <c r="AJ78" s="172">
        <f>IF(AI78=0,IF(AJ73=0,0,AJ73/($B73*12)),IF(SUM($C$78:AI78)=SUM($C$73:AJ73),0,AI78))</f>
        <v>0</v>
      </c>
      <c r="AK78" s="172">
        <f>IF(AJ78=0,IF(AK73=0,0,AK73/($B73*12)),IF(SUM($C$78:AJ78)=SUM($C$73:AK73),0,AJ78))</f>
        <v>0</v>
      </c>
      <c r="AL78" s="172">
        <f>IF(AK78=0,IF(AL73=0,0,AL73/($B73*12)),IF(SUM($C$78:AK78)=SUM($C$73:AL73),0,AK78))</f>
        <v>0</v>
      </c>
    </row>
    <row r="79" spans="1:38" s="161" customFormat="1" hidden="1" outlineLevel="1" x14ac:dyDescent="0.25">
      <c r="A79" s="170" t="str">
        <f>A74</f>
        <v>Финансирование первоначальных затрат и формирование текущих активов</v>
      </c>
      <c r="B79" s="171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</row>
    <row r="80" spans="1:38" collapsed="1" x14ac:dyDescent="0.25"/>
    <row r="82" spans="1:18" x14ac:dyDescent="0.25">
      <c r="A82" s="148" t="s">
        <v>170</v>
      </c>
    </row>
    <row r="83" spans="1:18" x14ac:dyDescent="0.25">
      <c r="A83" s="199" t="s">
        <v>137</v>
      </c>
      <c r="B83" s="198" t="s">
        <v>112</v>
      </c>
      <c r="C83" s="198"/>
      <c r="D83" s="198"/>
      <c r="E83" s="198"/>
      <c r="F83" s="198" t="s">
        <v>114</v>
      </c>
      <c r="G83" s="198"/>
      <c r="H83" s="198"/>
      <c r="I83" s="198"/>
      <c r="J83" s="198" t="s">
        <v>115</v>
      </c>
      <c r="K83" s="198"/>
      <c r="L83" s="198"/>
      <c r="M83" s="198"/>
    </row>
    <row r="84" spans="1:18" x14ac:dyDescent="0.25">
      <c r="A84" s="199"/>
      <c r="B84" s="173" t="s">
        <v>108</v>
      </c>
      <c r="C84" s="173" t="s">
        <v>109</v>
      </c>
      <c r="D84" s="173" t="s">
        <v>110</v>
      </c>
      <c r="E84" s="173" t="s">
        <v>111</v>
      </c>
      <c r="F84" s="173" t="s">
        <v>108</v>
      </c>
      <c r="G84" s="173" t="s">
        <v>109</v>
      </c>
      <c r="H84" s="173" t="s">
        <v>110</v>
      </c>
      <c r="I84" s="173" t="s">
        <v>111</v>
      </c>
      <c r="J84" s="173" t="s">
        <v>108</v>
      </c>
      <c r="K84" s="173" t="s">
        <v>109</v>
      </c>
      <c r="L84" s="173" t="s">
        <v>110</v>
      </c>
      <c r="M84" s="173" t="s">
        <v>111</v>
      </c>
    </row>
    <row r="85" spans="1:18" x14ac:dyDescent="0.25">
      <c r="A85" s="143" t="s">
        <v>168</v>
      </c>
      <c r="B85" s="174" t="str">
        <f>IF('Итоговые расчеты модели'!B96&lt;0,"Кассовый разрыв","ОК")</f>
        <v>ОК</v>
      </c>
      <c r="C85" s="174" t="str">
        <f>IF('Итоговые расчеты модели'!C96&lt;0,"Кассовый разрыв","ОК")</f>
        <v>ОК</v>
      </c>
      <c r="D85" s="174" t="str">
        <f>IF('Итоговые расчеты модели'!D96&lt;0,"Кассовый разрыв","ОК")</f>
        <v>ОК</v>
      </c>
      <c r="E85" s="174" t="str">
        <f>IF('Итоговые расчеты модели'!E96&lt;0,"Кассовый разрыв","ОК")</f>
        <v>ОК</v>
      </c>
      <c r="F85" s="174" t="str">
        <f>IF('Итоговые расчеты модели'!F96&lt;0,"Кассовый разрыв","ОК")</f>
        <v>ОК</v>
      </c>
      <c r="G85" s="174" t="str">
        <f>IF('Итоговые расчеты модели'!G96&lt;0,"Кассовый разрыв","ОК")</f>
        <v>ОК</v>
      </c>
      <c r="H85" s="174" t="str">
        <f>IF('Итоговые расчеты модели'!H96&lt;0,"Кассовый разрыв","ОК")</f>
        <v>ОК</v>
      </c>
      <c r="I85" s="174" t="str">
        <f>IF('Итоговые расчеты модели'!I96&lt;0,"Кассовый разрыв","ОК")</f>
        <v>ОК</v>
      </c>
      <c r="J85" s="174" t="str">
        <f>IF('Итоговые расчеты модели'!J96&lt;0,"Кассовый разрыв","ОК")</f>
        <v>ОК</v>
      </c>
      <c r="K85" s="174" t="str">
        <f>IF('Итоговые расчеты модели'!K96&lt;0,"Кассовый разрыв","ОК")</f>
        <v>ОК</v>
      </c>
      <c r="L85" s="174" t="str">
        <f>IF('Итоговые расчеты модели'!L96&lt;0,"Кассовый разрыв","ОК")</f>
        <v>ОК</v>
      </c>
      <c r="M85" s="174" t="str">
        <f>IF('Итоговые расчеты модели'!M96&lt;0,"Кассовый разрыв","ОК")</f>
        <v>ОК</v>
      </c>
    </row>
    <row r="86" spans="1:18" ht="31.5" x14ac:dyDescent="0.25">
      <c r="A86" s="143" t="s">
        <v>173</v>
      </c>
      <c r="B86" s="175">
        <f>'Итоговые расчеты модели'!B96</f>
        <v>645.78365443462508</v>
      </c>
      <c r="C86" s="175">
        <f>'Итоговые расчеты модели'!C96</f>
        <v>502.5601088692502</v>
      </c>
      <c r="D86" s="175">
        <f>'Итоговые расчеты модели'!D96</f>
        <v>472.45656330387538</v>
      </c>
      <c r="E86" s="175">
        <f>'Итоговые расчеты модели'!E96</f>
        <v>1322.0530177385003</v>
      </c>
      <c r="F86" s="175">
        <f>'Итоговые расчеты модели'!F96</f>
        <v>151.88289439043797</v>
      </c>
      <c r="G86" s="175">
        <f>'Итоговые расчеты модели'!G96</f>
        <v>581.71277104237561</v>
      </c>
      <c r="H86" s="175">
        <f>'Итоговые расчеты модели'!H96</f>
        <v>1211.5426476943132</v>
      </c>
      <c r="I86" s="175">
        <f>'Итоговые расчеты модели'!I96</f>
        <v>1841.3725243462509</v>
      </c>
      <c r="J86" s="175">
        <f>'Итоговые расчеты модели'!J96</f>
        <v>1878.8799414328125</v>
      </c>
      <c r="K86" s="175">
        <f>'Итоговые расчеты модели'!K96</f>
        <v>1872.4995425193752</v>
      </c>
      <c r="L86" s="175">
        <f>'Итоговые расчеты модели'!L96</f>
        <v>1928.0585836059372</v>
      </c>
      <c r="M86" s="175">
        <f>'Итоговые расчеты модели'!M96</f>
        <v>1983.6176246924995</v>
      </c>
    </row>
    <row r="87" spans="1:18" ht="31.5" x14ac:dyDescent="0.25">
      <c r="A87" s="143" t="s">
        <v>174</v>
      </c>
      <c r="B87" s="176">
        <v>2000000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</row>
    <row r="88" spans="1:18" ht="31.5" x14ac:dyDescent="0.25">
      <c r="A88" s="143" t="s">
        <v>175</v>
      </c>
      <c r="B88" s="176"/>
      <c r="C88" s="176"/>
      <c r="D88" s="176"/>
      <c r="E88" s="176"/>
      <c r="F88" s="176">
        <v>1800000</v>
      </c>
      <c r="G88" s="176">
        <v>200000</v>
      </c>
      <c r="H88" s="176"/>
      <c r="I88" s="176"/>
      <c r="J88" s="176"/>
      <c r="K88" s="176"/>
      <c r="L88" s="176"/>
      <c r="M88" s="176"/>
    </row>
    <row r="92" spans="1:18" hidden="1" outlineLevel="1" x14ac:dyDescent="0.25"/>
    <row r="93" spans="1:18" hidden="1" outlineLevel="1" x14ac:dyDescent="0.25"/>
    <row r="94" spans="1:18" ht="31.5" hidden="1" outlineLevel="1" x14ac:dyDescent="0.25">
      <c r="A94" s="177" t="s">
        <v>49</v>
      </c>
      <c r="E94" s="178" t="s">
        <v>289</v>
      </c>
    </row>
    <row r="95" spans="1:18" hidden="1" outlineLevel="1" x14ac:dyDescent="0.25">
      <c r="A95" s="150" t="s">
        <v>46</v>
      </c>
      <c r="E95" s="179" t="s">
        <v>212</v>
      </c>
      <c r="F95" s="180"/>
      <c r="G95" s="180"/>
      <c r="H95" s="180"/>
      <c r="I95" s="180"/>
    </row>
    <row r="96" spans="1:18" hidden="1" outlineLevel="1" x14ac:dyDescent="0.25">
      <c r="A96" s="150" t="s">
        <v>47</v>
      </c>
      <c r="E96" s="179" t="s">
        <v>213</v>
      </c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idden="1" outlineLevel="1" x14ac:dyDescent="0.25">
      <c r="A97" s="150" t="s">
        <v>48</v>
      </c>
      <c r="E97" s="179" t="s">
        <v>214</v>
      </c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idden="1" outlineLevel="1" x14ac:dyDescent="0.25">
      <c r="E98" s="179" t="s">
        <v>215</v>
      </c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idden="1" outlineLevel="1" x14ac:dyDescent="0.25">
      <c r="A99" s="181" t="s">
        <v>57</v>
      </c>
      <c r="E99" s="179" t="s">
        <v>216</v>
      </c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idden="1" outlineLevel="1" x14ac:dyDescent="0.25">
      <c r="A100" s="150" t="s">
        <v>60</v>
      </c>
      <c r="B100" s="182">
        <v>2</v>
      </c>
      <c r="E100" s="179" t="s">
        <v>217</v>
      </c>
    </row>
    <row r="101" spans="1:18" hidden="1" outlineLevel="1" x14ac:dyDescent="0.25">
      <c r="A101" s="150" t="s">
        <v>58</v>
      </c>
      <c r="B101" s="182">
        <v>2</v>
      </c>
      <c r="E101" s="179" t="s">
        <v>218</v>
      </c>
    </row>
    <row r="102" spans="1:18" hidden="1" outlineLevel="1" x14ac:dyDescent="0.25">
      <c r="A102" s="150" t="s">
        <v>59</v>
      </c>
      <c r="B102" s="182">
        <v>3.5</v>
      </c>
      <c r="E102" s="179" t="s">
        <v>219</v>
      </c>
    </row>
    <row r="103" spans="1:18" hidden="1" outlineLevel="1" x14ac:dyDescent="0.25">
      <c r="A103" s="150" t="s">
        <v>61</v>
      </c>
      <c r="B103" s="182">
        <v>5</v>
      </c>
      <c r="E103" s="179" t="s">
        <v>220</v>
      </c>
    </row>
    <row r="104" spans="1:18" hidden="1" outlineLevel="1" x14ac:dyDescent="0.25">
      <c r="A104" s="150" t="s">
        <v>62</v>
      </c>
      <c r="B104" s="182">
        <v>10</v>
      </c>
      <c r="E104" s="179" t="s">
        <v>221</v>
      </c>
    </row>
    <row r="105" spans="1:18" hidden="1" outlineLevel="1" x14ac:dyDescent="0.25">
      <c r="E105" s="179" t="s">
        <v>222</v>
      </c>
    </row>
    <row r="106" spans="1:18" hidden="1" outlineLevel="1" x14ac:dyDescent="0.25">
      <c r="E106" s="179" t="s">
        <v>223</v>
      </c>
    </row>
    <row r="107" spans="1:18" hidden="1" outlineLevel="1" x14ac:dyDescent="0.25">
      <c r="A107" s="210" t="s">
        <v>81</v>
      </c>
      <c r="B107" s="211"/>
    </row>
    <row r="108" spans="1:18" hidden="1" outlineLevel="1" x14ac:dyDescent="0.25">
      <c r="A108" s="150" t="s">
        <v>82</v>
      </c>
      <c r="B108" s="183">
        <v>0.22</v>
      </c>
    </row>
    <row r="109" spans="1:18" hidden="1" outlineLevel="1" x14ac:dyDescent="0.25">
      <c r="A109" s="150" t="s">
        <v>83</v>
      </c>
      <c r="B109" s="183">
        <v>5.0999999999999997E-2</v>
      </c>
    </row>
    <row r="110" spans="1:18" hidden="1" outlineLevel="1" x14ac:dyDescent="0.25">
      <c r="A110" s="150" t="s">
        <v>84</v>
      </c>
      <c r="B110" s="183">
        <v>2.9000000000000001E-2</v>
      </c>
    </row>
    <row r="111" spans="1:18" hidden="1" outlineLevel="1" x14ac:dyDescent="0.25">
      <c r="A111" s="150" t="s">
        <v>85</v>
      </c>
      <c r="B111" s="183">
        <v>2E-3</v>
      </c>
    </row>
    <row r="112" spans="1:18" hidden="1" outlineLevel="1" x14ac:dyDescent="0.25"/>
    <row r="113" spans="1:6" hidden="1" outlineLevel="1" x14ac:dyDescent="0.25"/>
    <row r="114" spans="1:6" hidden="1" outlineLevel="1" x14ac:dyDescent="0.25">
      <c r="A114" s="181" t="s">
        <v>88</v>
      </c>
      <c r="B114" s="182">
        <v>1</v>
      </c>
    </row>
    <row r="115" spans="1:6" hidden="1" outlineLevel="1" x14ac:dyDescent="0.25">
      <c r="A115" s="184">
        <v>2</v>
      </c>
      <c r="B115" s="182">
        <v>2</v>
      </c>
    </row>
    <row r="116" spans="1:6" hidden="1" outlineLevel="1" x14ac:dyDescent="0.25">
      <c r="A116" s="184">
        <v>3</v>
      </c>
      <c r="B116" s="182">
        <v>3</v>
      </c>
    </row>
    <row r="117" spans="1:6" hidden="1" outlineLevel="1" x14ac:dyDescent="0.25"/>
    <row r="118" spans="1:6" hidden="1" outlineLevel="1" x14ac:dyDescent="0.25">
      <c r="A118" s="212" t="s">
        <v>0</v>
      </c>
      <c r="B118" s="212"/>
      <c r="C118" s="185" t="s">
        <v>1</v>
      </c>
      <c r="D118" s="186">
        <v>974</v>
      </c>
    </row>
    <row r="119" spans="1:6" hidden="1" outlineLevel="1" x14ac:dyDescent="0.25">
      <c r="A119" s="212" t="s">
        <v>2</v>
      </c>
      <c r="B119" s="212"/>
      <c r="C119" s="185" t="s">
        <v>3</v>
      </c>
      <c r="D119" s="186">
        <v>88.391499999999994</v>
      </c>
    </row>
    <row r="120" spans="1:6" hidden="1" outlineLevel="1" x14ac:dyDescent="0.25">
      <c r="A120" s="212" t="s">
        <v>4</v>
      </c>
      <c r="B120" s="212"/>
      <c r="C120" s="185" t="s">
        <v>5</v>
      </c>
      <c r="D120" s="186">
        <v>1.1000000000000001</v>
      </c>
    </row>
    <row r="121" spans="1:6" hidden="1" outlineLevel="1" x14ac:dyDescent="0.25">
      <c r="A121" s="212" t="s">
        <v>6</v>
      </c>
      <c r="B121" s="212"/>
      <c r="C121" s="185" t="s">
        <v>7</v>
      </c>
      <c r="D121" s="187">
        <v>0.9</v>
      </c>
    </row>
    <row r="122" spans="1:6" hidden="1" outlineLevel="1" x14ac:dyDescent="0.25">
      <c r="A122" s="212" t="s">
        <v>8</v>
      </c>
      <c r="B122" s="212"/>
      <c r="C122" s="185" t="s">
        <v>9</v>
      </c>
      <c r="D122" s="186">
        <v>1</v>
      </c>
    </row>
    <row r="123" spans="1:6" hidden="1" outlineLevel="1" x14ac:dyDescent="0.25">
      <c r="A123" s="212" t="s">
        <v>10</v>
      </c>
      <c r="B123" s="212"/>
      <c r="C123" s="185" t="s">
        <v>11</v>
      </c>
      <c r="D123" s="186">
        <v>1</v>
      </c>
    </row>
    <row r="124" spans="1:6" hidden="1" outlineLevel="1" x14ac:dyDescent="0.25">
      <c r="A124" s="212" t="s">
        <v>12</v>
      </c>
      <c r="B124" s="212"/>
      <c r="C124" s="185" t="s">
        <v>13</v>
      </c>
      <c r="D124" s="186">
        <v>1.05</v>
      </c>
    </row>
    <row r="125" spans="1:6" hidden="1" outlineLevel="1" x14ac:dyDescent="0.25">
      <c r="A125" s="212" t="s">
        <v>14</v>
      </c>
      <c r="B125" s="212"/>
      <c r="C125" s="185" t="s">
        <v>15</v>
      </c>
      <c r="D125" s="186">
        <v>1</v>
      </c>
    </row>
    <row r="126" spans="1:6" hidden="1" outlineLevel="1" x14ac:dyDescent="0.25"/>
    <row r="127" spans="1:6" hidden="1" outlineLevel="1" x14ac:dyDescent="0.25"/>
    <row r="128" spans="1:6" hidden="1" outlineLevel="1" x14ac:dyDescent="0.25">
      <c r="A128" s="209" t="s">
        <v>92</v>
      </c>
      <c r="B128" s="209"/>
      <c r="C128" s="209"/>
      <c r="D128" s="209"/>
      <c r="E128" s="209"/>
      <c r="F128" s="209"/>
    </row>
    <row r="129" spans="1:5" ht="31.5" hidden="1" outlineLevel="1" x14ac:dyDescent="0.25">
      <c r="A129" s="188" t="s">
        <v>93</v>
      </c>
      <c r="B129" s="188" t="s">
        <v>94</v>
      </c>
      <c r="C129" s="188" t="s">
        <v>95</v>
      </c>
      <c r="D129" s="188" t="s">
        <v>96</v>
      </c>
      <c r="E129" s="188" t="s">
        <v>97</v>
      </c>
    </row>
    <row r="130" spans="1:5" hidden="1" outlineLevel="1" x14ac:dyDescent="0.25">
      <c r="A130" s="189">
        <v>1</v>
      </c>
      <c r="B130" s="190">
        <f>ROUND(IF(A130-1&lt;$B$28,0,D130-C130),2)</f>
        <v>0</v>
      </c>
      <c r="C130" s="190">
        <f>ROUND(B26*$B$29/12,2)</f>
        <v>8333.33</v>
      </c>
      <c r="D130" s="190">
        <f>ROUND(IF(A130&gt;$B$27,0,IF(A130-1&lt;$B$28,C130,-PMT($B$29/12,$B$27-$B$28,$B$26))),2)</f>
        <v>8333.33</v>
      </c>
      <c r="E130" s="190">
        <f>B26-B130</f>
        <v>1000000</v>
      </c>
    </row>
    <row r="131" spans="1:5" hidden="1" outlineLevel="1" x14ac:dyDescent="0.25">
      <c r="A131" s="189">
        <v>2</v>
      </c>
      <c r="B131" s="190">
        <f t="shared" ref="B131:B165" si="1">ROUND(IF(A131-1&lt;$B$28,0,D131-C131),2)</f>
        <v>0</v>
      </c>
      <c r="C131" s="190">
        <f>ROUND(E130*$B$29/12,2)</f>
        <v>8333.33</v>
      </c>
      <c r="D131" s="190">
        <f>ROUND(IF(A131&gt;$B$27,0,IF(A131-1&lt;$B$28,C131,-PMT($B$29/12,$B$27-$B$28,$B$26))),2)</f>
        <v>8333.33</v>
      </c>
      <c r="E131" s="190">
        <f>E130-B131</f>
        <v>1000000</v>
      </c>
    </row>
    <row r="132" spans="1:5" hidden="1" outlineLevel="1" x14ac:dyDescent="0.25">
      <c r="A132" s="189">
        <v>3</v>
      </c>
      <c r="B132" s="190">
        <f t="shared" si="1"/>
        <v>0</v>
      </c>
      <c r="C132" s="190">
        <f>ROUND(E131*$B$29/12,2)</f>
        <v>8333.33</v>
      </c>
      <c r="D132" s="190">
        <f t="shared" ref="D132:D165" si="2">ROUND(IF(A132&gt;$B$27,0,IF(A132-1&lt;$B$28,C132,-PMT($B$29/12,$B$27-$B$28,$B$26))),2)</f>
        <v>8333.33</v>
      </c>
      <c r="E132" s="190">
        <f t="shared" ref="E132:E139" si="3">E131-B132</f>
        <v>1000000</v>
      </c>
    </row>
    <row r="133" spans="1:5" hidden="1" outlineLevel="1" x14ac:dyDescent="0.25">
      <c r="A133" s="189">
        <v>4</v>
      </c>
      <c r="B133" s="190">
        <f>ROUND(IF(A133-1&lt;$B$28,0,D133-C133),2)</f>
        <v>26452.400000000001</v>
      </c>
      <c r="C133" s="190">
        <f>ROUND(E132*$B$29/12,2)</f>
        <v>8333.33</v>
      </c>
      <c r="D133" s="190">
        <f t="shared" si="2"/>
        <v>34785.730000000003</v>
      </c>
      <c r="E133" s="190">
        <f t="shared" si="3"/>
        <v>973547.6</v>
      </c>
    </row>
    <row r="134" spans="1:5" hidden="1" outlineLevel="1" x14ac:dyDescent="0.25">
      <c r="A134" s="189">
        <v>5</v>
      </c>
      <c r="B134" s="190">
        <f t="shared" si="1"/>
        <v>26672.83</v>
      </c>
      <c r="C134" s="190">
        <f>ROUND(E133*$B$29/12,2)</f>
        <v>8112.9</v>
      </c>
      <c r="D134" s="190">
        <f t="shared" si="2"/>
        <v>34785.730000000003</v>
      </c>
      <c r="E134" s="190">
        <f t="shared" si="3"/>
        <v>946874.77</v>
      </c>
    </row>
    <row r="135" spans="1:5" hidden="1" outlineLevel="1" x14ac:dyDescent="0.25">
      <c r="A135" s="189">
        <v>6</v>
      </c>
      <c r="B135" s="190">
        <f t="shared" si="1"/>
        <v>26895.11</v>
      </c>
      <c r="C135" s="190">
        <f t="shared" ref="C135:C165" si="4">ROUND(E134*$B$29/12,2)</f>
        <v>7890.62</v>
      </c>
      <c r="D135" s="190">
        <f t="shared" si="2"/>
        <v>34785.730000000003</v>
      </c>
      <c r="E135" s="190">
        <f t="shared" si="3"/>
        <v>919979.66</v>
      </c>
    </row>
    <row r="136" spans="1:5" hidden="1" outlineLevel="1" x14ac:dyDescent="0.25">
      <c r="A136" s="189">
        <v>7</v>
      </c>
      <c r="B136" s="190">
        <f t="shared" si="1"/>
        <v>27119.23</v>
      </c>
      <c r="C136" s="190">
        <f t="shared" si="4"/>
        <v>7666.5</v>
      </c>
      <c r="D136" s="190">
        <f t="shared" si="2"/>
        <v>34785.730000000003</v>
      </c>
      <c r="E136" s="190">
        <f t="shared" si="3"/>
        <v>892860.43</v>
      </c>
    </row>
    <row r="137" spans="1:5" hidden="1" outlineLevel="1" x14ac:dyDescent="0.25">
      <c r="A137" s="189">
        <v>8</v>
      </c>
      <c r="B137" s="190">
        <f t="shared" si="1"/>
        <v>27345.23</v>
      </c>
      <c r="C137" s="190">
        <f>ROUND(E136*$B$29/12,2)</f>
        <v>7440.5</v>
      </c>
      <c r="D137" s="190">
        <f t="shared" si="2"/>
        <v>34785.730000000003</v>
      </c>
      <c r="E137" s="190">
        <f t="shared" si="3"/>
        <v>865515.20000000007</v>
      </c>
    </row>
    <row r="138" spans="1:5" hidden="1" outlineLevel="1" x14ac:dyDescent="0.25">
      <c r="A138" s="189">
        <v>9</v>
      </c>
      <c r="B138" s="190">
        <f t="shared" si="1"/>
        <v>27573.1</v>
      </c>
      <c r="C138" s="190">
        <f t="shared" si="4"/>
        <v>7212.63</v>
      </c>
      <c r="D138" s="190">
        <f t="shared" si="2"/>
        <v>34785.730000000003</v>
      </c>
      <c r="E138" s="190">
        <f t="shared" si="3"/>
        <v>837942.10000000009</v>
      </c>
    </row>
    <row r="139" spans="1:5" hidden="1" outlineLevel="1" x14ac:dyDescent="0.25">
      <c r="A139" s="189">
        <v>10</v>
      </c>
      <c r="B139" s="190">
        <f t="shared" si="1"/>
        <v>27802.880000000001</v>
      </c>
      <c r="C139" s="190">
        <f t="shared" si="4"/>
        <v>6982.85</v>
      </c>
      <c r="D139" s="190">
        <f t="shared" si="2"/>
        <v>34785.730000000003</v>
      </c>
      <c r="E139" s="190">
        <f t="shared" si="3"/>
        <v>810139.22000000009</v>
      </c>
    </row>
    <row r="140" spans="1:5" hidden="1" outlineLevel="1" x14ac:dyDescent="0.25">
      <c r="A140" s="189">
        <v>11</v>
      </c>
      <c r="B140" s="190">
        <f t="shared" si="1"/>
        <v>28034.57</v>
      </c>
      <c r="C140" s="190">
        <f t="shared" si="4"/>
        <v>6751.16</v>
      </c>
      <c r="D140" s="190">
        <f t="shared" si="2"/>
        <v>34785.730000000003</v>
      </c>
      <c r="E140" s="190">
        <f>E139-B140</f>
        <v>782104.65000000014</v>
      </c>
    </row>
    <row r="141" spans="1:5" hidden="1" outlineLevel="1" x14ac:dyDescent="0.25">
      <c r="A141" s="189">
        <v>12</v>
      </c>
      <c r="B141" s="190">
        <f t="shared" si="1"/>
        <v>28268.19</v>
      </c>
      <c r="C141" s="190">
        <f t="shared" si="4"/>
        <v>6517.54</v>
      </c>
      <c r="D141" s="190">
        <f t="shared" si="2"/>
        <v>34785.730000000003</v>
      </c>
      <c r="E141" s="190">
        <f>E140-B141</f>
        <v>753836.4600000002</v>
      </c>
    </row>
    <row r="142" spans="1:5" hidden="1" outlineLevel="1" x14ac:dyDescent="0.25">
      <c r="A142" s="189">
        <v>13</v>
      </c>
      <c r="B142" s="190">
        <f t="shared" si="1"/>
        <v>28503.759999999998</v>
      </c>
      <c r="C142" s="190">
        <f t="shared" si="4"/>
        <v>6281.97</v>
      </c>
      <c r="D142" s="190">
        <f t="shared" si="2"/>
        <v>34785.730000000003</v>
      </c>
      <c r="E142" s="190">
        <f t="shared" ref="E142:E152" si="5">E141-B142</f>
        <v>725332.70000000019</v>
      </c>
    </row>
    <row r="143" spans="1:5" hidden="1" outlineLevel="1" x14ac:dyDescent="0.25">
      <c r="A143" s="189">
        <v>14</v>
      </c>
      <c r="B143" s="190">
        <f t="shared" si="1"/>
        <v>28741.29</v>
      </c>
      <c r="C143" s="190">
        <f t="shared" si="4"/>
        <v>6044.44</v>
      </c>
      <c r="D143" s="190">
        <f t="shared" si="2"/>
        <v>34785.730000000003</v>
      </c>
      <c r="E143" s="190">
        <f t="shared" si="5"/>
        <v>696591.41000000015</v>
      </c>
    </row>
    <row r="144" spans="1:5" hidden="1" outlineLevel="1" x14ac:dyDescent="0.25">
      <c r="A144" s="189">
        <v>15</v>
      </c>
      <c r="B144" s="190">
        <f t="shared" si="1"/>
        <v>28980.799999999999</v>
      </c>
      <c r="C144" s="190">
        <f t="shared" si="4"/>
        <v>5804.93</v>
      </c>
      <c r="D144" s="190">
        <f t="shared" si="2"/>
        <v>34785.730000000003</v>
      </c>
      <c r="E144" s="190">
        <f t="shared" si="5"/>
        <v>667610.6100000001</v>
      </c>
    </row>
    <row r="145" spans="1:5" hidden="1" outlineLevel="1" x14ac:dyDescent="0.25">
      <c r="A145" s="189">
        <v>16</v>
      </c>
      <c r="B145" s="190">
        <f t="shared" si="1"/>
        <v>29222.31</v>
      </c>
      <c r="C145" s="190">
        <f t="shared" si="4"/>
        <v>5563.42</v>
      </c>
      <c r="D145" s="190">
        <f t="shared" si="2"/>
        <v>34785.730000000003</v>
      </c>
      <c r="E145" s="190">
        <f t="shared" si="5"/>
        <v>638388.30000000005</v>
      </c>
    </row>
    <row r="146" spans="1:5" hidden="1" outlineLevel="1" x14ac:dyDescent="0.25">
      <c r="A146" s="189">
        <v>17</v>
      </c>
      <c r="B146" s="190">
        <f t="shared" si="1"/>
        <v>29465.83</v>
      </c>
      <c r="C146" s="190">
        <f t="shared" si="4"/>
        <v>5319.9</v>
      </c>
      <c r="D146" s="190">
        <f t="shared" si="2"/>
        <v>34785.730000000003</v>
      </c>
      <c r="E146" s="190">
        <f t="shared" si="5"/>
        <v>608922.47000000009</v>
      </c>
    </row>
    <row r="147" spans="1:5" hidden="1" outlineLevel="1" x14ac:dyDescent="0.25">
      <c r="A147" s="189">
        <v>18</v>
      </c>
      <c r="B147" s="190">
        <f t="shared" si="1"/>
        <v>29711.38</v>
      </c>
      <c r="C147" s="190">
        <f t="shared" si="4"/>
        <v>5074.3500000000004</v>
      </c>
      <c r="D147" s="190">
        <f t="shared" si="2"/>
        <v>34785.730000000003</v>
      </c>
      <c r="E147" s="190">
        <f t="shared" si="5"/>
        <v>579211.09000000008</v>
      </c>
    </row>
    <row r="148" spans="1:5" hidden="1" outlineLevel="1" x14ac:dyDescent="0.25">
      <c r="A148" s="189">
        <v>19</v>
      </c>
      <c r="B148" s="190">
        <f t="shared" si="1"/>
        <v>29958.97</v>
      </c>
      <c r="C148" s="190">
        <f t="shared" si="4"/>
        <v>4826.76</v>
      </c>
      <c r="D148" s="190">
        <f t="shared" si="2"/>
        <v>34785.730000000003</v>
      </c>
      <c r="E148" s="190">
        <f t="shared" si="5"/>
        <v>549252.12000000011</v>
      </c>
    </row>
    <row r="149" spans="1:5" hidden="1" outlineLevel="1" x14ac:dyDescent="0.25">
      <c r="A149" s="189">
        <v>20</v>
      </c>
      <c r="B149" s="190">
        <f t="shared" si="1"/>
        <v>30208.63</v>
      </c>
      <c r="C149" s="190">
        <f t="shared" si="4"/>
        <v>4577.1000000000004</v>
      </c>
      <c r="D149" s="190">
        <f t="shared" si="2"/>
        <v>34785.730000000003</v>
      </c>
      <c r="E149" s="190">
        <f t="shared" si="5"/>
        <v>519043.49000000011</v>
      </c>
    </row>
    <row r="150" spans="1:5" hidden="1" outlineLevel="1" x14ac:dyDescent="0.25">
      <c r="A150" s="189">
        <v>21</v>
      </c>
      <c r="B150" s="190">
        <f t="shared" si="1"/>
        <v>30460.37</v>
      </c>
      <c r="C150" s="190">
        <f t="shared" si="4"/>
        <v>4325.3599999999997</v>
      </c>
      <c r="D150" s="190">
        <f t="shared" si="2"/>
        <v>34785.730000000003</v>
      </c>
      <c r="E150" s="190">
        <f t="shared" si="5"/>
        <v>488583.12000000011</v>
      </c>
    </row>
    <row r="151" spans="1:5" hidden="1" outlineLevel="1" x14ac:dyDescent="0.25">
      <c r="A151" s="189">
        <v>22</v>
      </c>
      <c r="B151" s="190">
        <f t="shared" si="1"/>
        <v>30714.2</v>
      </c>
      <c r="C151" s="190">
        <f t="shared" si="4"/>
        <v>4071.53</v>
      </c>
      <c r="D151" s="190">
        <f t="shared" si="2"/>
        <v>34785.730000000003</v>
      </c>
      <c r="E151" s="190">
        <f t="shared" si="5"/>
        <v>457868.9200000001</v>
      </c>
    </row>
    <row r="152" spans="1:5" hidden="1" outlineLevel="1" x14ac:dyDescent="0.25">
      <c r="A152" s="189">
        <v>23</v>
      </c>
      <c r="B152" s="190">
        <f t="shared" si="1"/>
        <v>30970.16</v>
      </c>
      <c r="C152" s="190">
        <f t="shared" si="4"/>
        <v>3815.57</v>
      </c>
      <c r="D152" s="190">
        <f t="shared" si="2"/>
        <v>34785.730000000003</v>
      </c>
      <c r="E152" s="190">
        <f t="shared" si="5"/>
        <v>426898.76000000013</v>
      </c>
    </row>
    <row r="153" spans="1:5" hidden="1" outlineLevel="1" x14ac:dyDescent="0.25">
      <c r="A153" s="189">
        <v>24</v>
      </c>
      <c r="B153" s="190">
        <f t="shared" si="1"/>
        <v>31228.240000000002</v>
      </c>
      <c r="C153" s="190">
        <f t="shared" si="4"/>
        <v>3557.49</v>
      </c>
      <c r="D153" s="190">
        <f t="shared" si="2"/>
        <v>34785.730000000003</v>
      </c>
      <c r="E153" s="190">
        <f>E152-B153</f>
        <v>395670.52000000014</v>
      </c>
    </row>
    <row r="154" spans="1:5" hidden="1" outlineLevel="1" x14ac:dyDescent="0.25">
      <c r="A154" s="189">
        <v>25</v>
      </c>
      <c r="B154" s="190">
        <f t="shared" si="1"/>
        <v>31488.48</v>
      </c>
      <c r="C154" s="190">
        <f t="shared" si="4"/>
        <v>3297.25</v>
      </c>
      <c r="D154" s="190">
        <f t="shared" si="2"/>
        <v>34785.730000000003</v>
      </c>
      <c r="E154" s="190">
        <f t="shared" ref="E154:E164" si="6">E153-B154</f>
        <v>364182.04000000015</v>
      </c>
    </row>
    <row r="155" spans="1:5" hidden="1" outlineLevel="1" x14ac:dyDescent="0.25">
      <c r="A155" s="189">
        <v>26</v>
      </c>
      <c r="B155" s="190">
        <f t="shared" si="1"/>
        <v>31750.880000000001</v>
      </c>
      <c r="C155" s="190">
        <f t="shared" si="4"/>
        <v>3034.85</v>
      </c>
      <c r="D155" s="190">
        <f t="shared" si="2"/>
        <v>34785.730000000003</v>
      </c>
      <c r="E155" s="190">
        <f t="shared" si="6"/>
        <v>332431.16000000015</v>
      </c>
    </row>
    <row r="156" spans="1:5" hidden="1" outlineLevel="1" x14ac:dyDescent="0.25">
      <c r="A156" s="189">
        <v>27</v>
      </c>
      <c r="B156" s="190">
        <f t="shared" si="1"/>
        <v>32015.47</v>
      </c>
      <c r="C156" s="190">
        <f t="shared" si="4"/>
        <v>2770.26</v>
      </c>
      <c r="D156" s="190">
        <f t="shared" si="2"/>
        <v>34785.730000000003</v>
      </c>
      <c r="E156" s="190">
        <f t="shared" si="6"/>
        <v>300415.69000000018</v>
      </c>
    </row>
    <row r="157" spans="1:5" hidden="1" outlineLevel="1" x14ac:dyDescent="0.25">
      <c r="A157" s="189">
        <v>28</v>
      </c>
      <c r="B157" s="190">
        <f t="shared" si="1"/>
        <v>32282.27</v>
      </c>
      <c r="C157" s="190">
        <f t="shared" si="4"/>
        <v>2503.46</v>
      </c>
      <c r="D157" s="190">
        <f t="shared" si="2"/>
        <v>34785.730000000003</v>
      </c>
      <c r="E157" s="190">
        <f t="shared" si="6"/>
        <v>268133.42000000016</v>
      </c>
    </row>
    <row r="158" spans="1:5" hidden="1" outlineLevel="1" x14ac:dyDescent="0.25">
      <c r="A158" s="189">
        <v>29</v>
      </c>
      <c r="B158" s="190">
        <f t="shared" si="1"/>
        <v>32551.279999999999</v>
      </c>
      <c r="C158" s="190">
        <f t="shared" si="4"/>
        <v>2234.4499999999998</v>
      </c>
      <c r="D158" s="190">
        <f t="shared" si="2"/>
        <v>34785.730000000003</v>
      </c>
      <c r="E158" s="190">
        <f t="shared" si="6"/>
        <v>235582.14000000016</v>
      </c>
    </row>
    <row r="159" spans="1:5" hidden="1" outlineLevel="1" x14ac:dyDescent="0.25">
      <c r="A159" s="189">
        <v>30</v>
      </c>
      <c r="B159" s="190">
        <f t="shared" si="1"/>
        <v>32822.550000000003</v>
      </c>
      <c r="C159" s="190">
        <f t="shared" si="4"/>
        <v>1963.18</v>
      </c>
      <c r="D159" s="190">
        <f t="shared" si="2"/>
        <v>34785.730000000003</v>
      </c>
      <c r="E159" s="190">
        <f t="shared" si="6"/>
        <v>202759.59000000014</v>
      </c>
    </row>
    <row r="160" spans="1:5" hidden="1" outlineLevel="1" x14ac:dyDescent="0.25">
      <c r="A160" s="189">
        <v>31</v>
      </c>
      <c r="B160" s="190">
        <f t="shared" si="1"/>
        <v>33096.07</v>
      </c>
      <c r="C160" s="190">
        <f t="shared" si="4"/>
        <v>1689.66</v>
      </c>
      <c r="D160" s="190">
        <f t="shared" si="2"/>
        <v>34785.730000000003</v>
      </c>
      <c r="E160" s="190">
        <f t="shared" si="6"/>
        <v>169663.52000000014</v>
      </c>
    </row>
    <row r="161" spans="1:5" hidden="1" outlineLevel="1" x14ac:dyDescent="0.25">
      <c r="A161" s="189">
        <v>32</v>
      </c>
      <c r="B161" s="190">
        <f t="shared" si="1"/>
        <v>33371.870000000003</v>
      </c>
      <c r="C161" s="190">
        <f t="shared" si="4"/>
        <v>1413.86</v>
      </c>
      <c r="D161" s="190">
        <f t="shared" si="2"/>
        <v>34785.730000000003</v>
      </c>
      <c r="E161" s="190">
        <f t="shared" si="6"/>
        <v>136291.65000000014</v>
      </c>
    </row>
    <row r="162" spans="1:5" hidden="1" outlineLevel="1" x14ac:dyDescent="0.25">
      <c r="A162" s="189">
        <v>33</v>
      </c>
      <c r="B162" s="190">
        <f t="shared" si="1"/>
        <v>33649.97</v>
      </c>
      <c r="C162" s="190">
        <f t="shared" si="4"/>
        <v>1135.76</v>
      </c>
      <c r="D162" s="190">
        <f t="shared" si="2"/>
        <v>34785.730000000003</v>
      </c>
      <c r="E162" s="190">
        <f t="shared" si="6"/>
        <v>102641.68000000014</v>
      </c>
    </row>
    <row r="163" spans="1:5" hidden="1" outlineLevel="1" x14ac:dyDescent="0.25">
      <c r="A163" s="189">
        <v>34</v>
      </c>
      <c r="B163" s="190">
        <f t="shared" si="1"/>
        <v>33930.379999999997</v>
      </c>
      <c r="C163" s="190">
        <f t="shared" si="4"/>
        <v>855.35</v>
      </c>
      <c r="D163" s="190">
        <f t="shared" si="2"/>
        <v>34785.730000000003</v>
      </c>
      <c r="E163" s="190">
        <f t="shared" si="6"/>
        <v>68711.300000000134</v>
      </c>
    </row>
    <row r="164" spans="1:5" hidden="1" outlineLevel="1" x14ac:dyDescent="0.25">
      <c r="A164" s="189">
        <v>35</v>
      </c>
      <c r="B164" s="190">
        <f t="shared" si="1"/>
        <v>34213.14</v>
      </c>
      <c r="C164" s="190">
        <f t="shared" si="4"/>
        <v>572.59</v>
      </c>
      <c r="D164" s="190">
        <f t="shared" si="2"/>
        <v>34785.730000000003</v>
      </c>
      <c r="E164" s="190">
        <f t="shared" si="6"/>
        <v>34498.160000000134</v>
      </c>
    </row>
    <row r="165" spans="1:5" hidden="1" outlineLevel="1" x14ac:dyDescent="0.25">
      <c r="A165" s="189">
        <v>36</v>
      </c>
      <c r="B165" s="190">
        <f t="shared" si="1"/>
        <v>34498.25</v>
      </c>
      <c r="C165" s="190">
        <f t="shared" si="4"/>
        <v>287.48</v>
      </c>
      <c r="D165" s="190">
        <f t="shared" si="2"/>
        <v>34785.730000000003</v>
      </c>
      <c r="E165" s="190">
        <f>E164-B165</f>
        <v>-8.9999999865540303E-2</v>
      </c>
    </row>
    <row r="166" spans="1:5" hidden="1" outlineLevel="1" x14ac:dyDescent="0.25">
      <c r="A166" s="191" t="s">
        <v>98</v>
      </c>
      <c r="B166" s="192">
        <f>SUM(B130:B165)</f>
        <v>1000000.09</v>
      </c>
      <c r="C166" s="192">
        <f t="shared" ref="C166:D166" si="7">SUM(C130:C165)</f>
        <v>172928.99000000002</v>
      </c>
      <c r="D166" s="192">
        <f t="shared" si="7"/>
        <v>1172929.0799999996</v>
      </c>
      <c r="E166" s="193"/>
    </row>
    <row r="167" spans="1:5" hidden="1" outlineLevel="1" x14ac:dyDescent="0.25"/>
    <row r="168" spans="1:5" collapsed="1" x14ac:dyDescent="0.25"/>
    <row r="169" spans="1:5" hidden="1" outlineLevel="1" x14ac:dyDescent="0.25"/>
    <row r="170" spans="1:5" hidden="1" outlineLevel="1" x14ac:dyDescent="0.25">
      <c r="A170" s="194" t="s">
        <v>297</v>
      </c>
    </row>
    <row r="171" spans="1:5" hidden="1" outlineLevel="1" x14ac:dyDescent="0.25">
      <c r="A171" s="150" t="s">
        <v>299</v>
      </c>
    </row>
    <row r="172" spans="1:5" hidden="1" outlineLevel="1" x14ac:dyDescent="0.25">
      <c r="A172" s="150" t="s">
        <v>300</v>
      </c>
    </row>
    <row r="173" spans="1:5" hidden="1" outlineLevel="1" x14ac:dyDescent="0.25">
      <c r="A173" s="150" t="s">
        <v>301</v>
      </c>
    </row>
    <row r="174" spans="1:5" hidden="1" outlineLevel="1" x14ac:dyDescent="0.25">
      <c r="A174" s="150" t="s">
        <v>298</v>
      </c>
    </row>
    <row r="175" spans="1:5" hidden="1" outlineLevel="1" x14ac:dyDescent="0.25">
      <c r="A175" s="150" t="s">
        <v>302</v>
      </c>
    </row>
    <row r="176" spans="1:5" hidden="1" outlineLevel="1" x14ac:dyDescent="0.25">
      <c r="A176" s="150" t="s">
        <v>303</v>
      </c>
    </row>
    <row r="177" spans="1:1" hidden="1" outlineLevel="1" x14ac:dyDescent="0.25">
      <c r="A177" s="195" t="s">
        <v>304</v>
      </c>
    </row>
    <row r="178" spans="1:1" hidden="1" outlineLevel="1" x14ac:dyDescent="0.25">
      <c r="A178" s="195" t="s">
        <v>305</v>
      </c>
    </row>
    <row r="179" spans="1:1" hidden="1" outlineLevel="1" x14ac:dyDescent="0.25"/>
    <row r="180" spans="1:1" hidden="1" outlineLevel="1" x14ac:dyDescent="0.25"/>
    <row r="181" spans="1:1" hidden="1" outlineLevel="1" x14ac:dyDescent="0.25"/>
    <row r="182" spans="1:1" hidden="1" outlineLevel="1" x14ac:dyDescent="0.25"/>
    <row r="183" spans="1:1" hidden="1" outlineLevel="1" x14ac:dyDescent="0.25"/>
    <row r="184" spans="1:1" hidden="1" outlineLevel="1" x14ac:dyDescent="0.25"/>
    <row r="185" spans="1:1" collapsed="1" x14ac:dyDescent="0.25"/>
  </sheetData>
  <sheetProtection password="C7EF" sheet="1" objects="1" scenarios="1" formatCells="0" formatColumns="0" formatRows="0" insertColumns="0" insertRows="0" insertHyperlinks="0" deleteColumns="0" deleteRows="0" sort="0" autoFilter="0" pivotTables="0"/>
  <mergeCells count="43">
    <mergeCell ref="A60:B60"/>
    <mergeCell ref="A59:B59"/>
    <mergeCell ref="B69:B70"/>
    <mergeCell ref="A128:F128"/>
    <mergeCell ref="A107:B107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B83:E83"/>
    <mergeCell ref="F83:I83"/>
    <mergeCell ref="A74:B74"/>
    <mergeCell ref="O35:Z35"/>
    <mergeCell ref="AA35:AL35"/>
    <mergeCell ref="C69:N69"/>
    <mergeCell ref="O69:Z69"/>
    <mergeCell ref="AA69:AL69"/>
    <mergeCell ref="C46:N46"/>
    <mergeCell ref="O46:Z46"/>
    <mergeCell ref="AA46:AL46"/>
    <mergeCell ref="C57:N57"/>
    <mergeCell ref="O57:Z57"/>
    <mergeCell ref="AA57:AL57"/>
    <mergeCell ref="A3:B3"/>
    <mergeCell ref="J83:M83"/>
    <mergeCell ref="A83:A84"/>
    <mergeCell ref="A35:A36"/>
    <mergeCell ref="B46:B47"/>
    <mergeCell ref="A46:A47"/>
    <mergeCell ref="A57:B58"/>
    <mergeCell ref="A69:A70"/>
    <mergeCell ref="C35:N35"/>
    <mergeCell ref="B35:B36"/>
    <mergeCell ref="A66:B66"/>
    <mergeCell ref="A65:B65"/>
    <mergeCell ref="A64:B64"/>
    <mergeCell ref="A63:B63"/>
    <mergeCell ref="A62:B62"/>
    <mergeCell ref="A61:B61"/>
  </mergeCells>
  <phoneticPr fontId="8" type="noConversion"/>
  <dataValidations count="4">
    <dataValidation type="list" allowBlank="1" showInputMessage="1" showErrorMessage="1" sqref="B8">
      <formula1>Налоги</formula1>
    </dataValidation>
    <dataValidation type="list" allowBlank="1" showInputMessage="1" showErrorMessage="1" sqref="B9:B10">
      <formula1>$A$100:$A$104</formula1>
    </dataValidation>
    <dataValidation type="list" allowBlank="1" showInputMessage="1" showErrorMessage="1" sqref="B21">
      <formula1>$A$115:$A$116</formula1>
    </dataValidation>
    <dataValidation type="list" allowBlank="1" showInputMessage="1" showErrorMessage="1" sqref="B20">
      <formula1>$B$114:$B$116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showGridLines="0" topLeftCell="A70" zoomScale="85" zoomScaleNormal="85" workbookViewId="0">
      <selection activeCell="N84" sqref="N84"/>
    </sheetView>
  </sheetViews>
  <sheetFormatPr defaultRowHeight="15" outlineLevelRow="1" x14ac:dyDescent="0.25"/>
  <cols>
    <col min="1" max="1" width="35.5703125" style="34" customWidth="1"/>
    <col min="2" max="2" width="15.5703125" style="34" customWidth="1"/>
    <col min="3" max="5" width="12.85546875" style="34" bestFit="1" customWidth="1"/>
    <col min="6" max="6" width="14" style="34" bestFit="1" customWidth="1"/>
    <col min="7" max="10" width="12.85546875" style="34" bestFit="1" customWidth="1"/>
    <col min="11" max="11" width="14" style="34" bestFit="1" customWidth="1"/>
    <col min="12" max="15" width="12.85546875" style="34" bestFit="1" customWidth="1"/>
    <col min="16" max="16" width="12.5703125" style="34" customWidth="1"/>
    <col min="17" max="17" width="13.42578125" style="34" customWidth="1"/>
    <col min="18" max="16384" width="9.140625" style="34"/>
  </cols>
  <sheetData>
    <row r="1" spans="1:10" x14ac:dyDescent="0.25">
      <c r="A1" s="33" t="s">
        <v>242</v>
      </c>
    </row>
    <row r="2" spans="1:10" x14ac:dyDescent="0.25">
      <c r="A2" s="35" t="s">
        <v>146</v>
      </c>
      <c r="B2" s="228" t="str">
        <f>CONCATENATE("ЛОТ № ",'Данные Заявителя'!B19)</f>
        <v>ЛОТ № 5</v>
      </c>
      <c r="C2" s="228"/>
    </row>
    <row r="3" spans="1:10" x14ac:dyDescent="0.25">
      <c r="A3" s="36" t="s">
        <v>0</v>
      </c>
      <c r="B3" s="37" t="s">
        <v>1</v>
      </c>
      <c r="C3" s="38">
        <v>974</v>
      </c>
    </row>
    <row r="4" spans="1:10" x14ac:dyDescent="0.25">
      <c r="A4" s="36" t="s">
        <v>2</v>
      </c>
      <c r="B4" s="37" t="s">
        <v>3</v>
      </c>
      <c r="C4" s="38">
        <v>88.391499999999994</v>
      </c>
    </row>
    <row r="5" spans="1:10" x14ac:dyDescent="0.25">
      <c r="A5" s="36" t="s">
        <v>149</v>
      </c>
      <c r="B5" s="37" t="s">
        <v>150</v>
      </c>
      <c r="C5" s="38">
        <f>'Данные Заявителя'!B21</f>
        <v>3</v>
      </c>
    </row>
    <row r="6" spans="1:10" x14ac:dyDescent="0.25">
      <c r="A6" s="36" t="s">
        <v>151</v>
      </c>
      <c r="B6" s="37" t="s">
        <v>152</v>
      </c>
      <c r="C6" s="39">
        <f>IF('Данные Заявителя'!$B$9='Данные Заявителя'!$A$100,'Данные Заявителя'!$B$100,IF('Данные Заявителя'!$B$9='Данные Заявителя'!$A$101,'Данные Заявителя'!$B$101,IF('Данные Заявителя'!$B$9='Данные Заявителя'!$A$102,'Данные Заявителя'!$B$102,IF('Данные Заявителя'!$B$9='Данные Заявителя'!$A$103,'Данные Заявителя'!$B$103,'Данные Заявителя'!$B$104))))</f>
        <v>2</v>
      </c>
    </row>
    <row r="7" spans="1:10" x14ac:dyDescent="0.25">
      <c r="A7" s="36" t="s">
        <v>4</v>
      </c>
      <c r="B7" s="37" t="s">
        <v>5</v>
      </c>
      <c r="C7" s="38">
        <v>1.1000000000000001</v>
      </c>
    </row>
    <row r="8" spans="1:10" x14ac:dyDescent="0.25">
      <c r="A8" s="36" t="s">
        <v>6</v>
      </c>
      <c r="B8" s="37" t="s">
        <v>7</v>
      </c>
      <c r="C8" s="40">
        <f>IF('Данные Заявителя'!B20=1,1,0.9)</f>
        <v>0.9</v>
      </c>
      <c r="I8" s="41"/>
      <c r="J8" s="41"/>
    </row>
    <row r="9" spans="1:10" x14ac:dyDescent="0.25">
      <c r="A9" s="36" t="s">
        <v>8</v>
      </c>
      <c r="B9" s="37" t="s">
        <v>9</v>
      </c>
      <c r="C9" s="38">
        <v>1</v>
      </c>
    </row>
    <row r="10" spans="1:10" x14ac:dyDescent="0.25">
      <c r="A10" s="36" t="s">
        <v>10</v>
      </c>
      <c r="B10" s="37" t="s">
        <v>11</v>
      </c>
      <c r="C10" s="38">
        <v>1</v>
      </c>
    </row>
    <row r="11" spans="1:10" x14ac:dyDescent="0.25">
      <c r="A11" s="36" t="s">
        <v>12</v>
      </c>
      <c r="B11" s="37" t="s">
        <v>13</v>
      </c>
      <c r="C11" s="38">
        <v>1.05</v>
      </c>
    </row>
    <row r="12" spans="1:10" x14ac:dyDescent="0.25">
      <c r="A12" s="36" t="s">
        <v>14</v>
      </c>
      <c r="B12" s="37" t="s">
        <v>15</v>
      </c>
      <c r="C12" s="38">
        <v>1</v>
      </c>
    </row>
    <row r="13" spans="1:10" x14ac:dyDescent="0.25">
      <c r="A13" s="36" t="s">
        <v>153</v>
      </c>
      <c r="B13" s="37" t="s">
        <v>154</v>
      </c>
      <c r="C13" s="42">
        <f>'Данные Заявителя'!B22</f>
        <v>50.5</v>
      </c>
    </row>
    <row r="14" spans="1:10" x14ac:dyDescent="0.25">
      <c r="A14" s="35" t="s">
        <v>147</v>
      </c>
      <c r="B14" s="37" t="s">
        <v>155</v>
      </c>
      <c r="C14" s="42">
        <f>'Данные Заявителя'!B23</f>
        <v>16</v>
      </c>
    </row>
    <row r="15" spans="1:10" x14ac:dyDescent="0.25">
      <c r="A15" s="232" t="s">
        <v>156</v>
      </c>
      <c r="B15" s="233"/>
      <c r="C15" s="234"/>
    </row>
    <row r="16" spans="1:10" ht="29.25" customHeight="1" x14ac:dyDescent="0.25">
      <c r="A16" s="229" t="s">
        <v>148</v>
      </c>
      <c r="B16" s="230"/>
      <c r="C16" s="231"/>
    </row>
    <row r="17" spans="1:17" ht="15.75" x14ac:dyDescent="0.25">
      <c r="A17" s="36" t="s">
        <v>157</v>
      </c>
      <c r="B17" s="43">
        <v>0.4</v>
      </c>
      <c r="C17" s="44">
        <f>C19*B17</f>
        <v>35465.422261500004</v>
      </c>
    </row>
    <row r="18" spans="1:17" ht="15.75" x14ac:dyDescent="0.25">
      <c r="A18" s="36" t="s">
        <v>158</v>
      </c>
      <c r="B18" s="43">
        <v>0.6</v>
      </c>
      <c r="C18" s="44">
        <f>C19*B18</f>
        <v>53198.133392250005</v>
      </c>
    </row>
    <row r="19" spans="1:17" ht="15.75" x14ac:dyDescent="0.25">
      <c r="A19" s="36" t="s">
        <v>159</v>
      </c>
      <c r="B19" s="43">
        <v>1</v>
      </c>
      <c r="C19" s="44">
        <f>((C3+C4/C5)*C6*C7*C8*C9*C10*C11*C12)*((C13-C14)+C14/2)</f>
        <v>88663.555653750009</v>
      </c>
    </row>
    <row r="20" spans="1:17" x14ac:dyDescent="0.25">
      <c r="A20" s="226" t="s">
        <v>160</v>
      </c>
      <c r="B20" s="227"/>
      <c r="C20" s="45">
        <f>SUM(C17:C19)</f>
        <v>177327.11130750002</v>
      </c>
    </row>
    <row r="23" spans="1:17" x14ac:dyDescent="0.25">
      <c r="A23" s="33" t="s">
        <v>243</v>
      </c>
    </row>
    <row r="24" spans="1:17" x14ac:dyDescent="0.25">
      <c r="A24" s="235" t="s">
        <v>140</v>
      </c>
      <c r="B24" s="223" t="s">
        <v>112</v>
      </c>
      <c r="C24" s="223"/>
      <c r="D24" s="223"/>
      <c r="E24" s="223"/>
      <c r="F24" s="235" t="s">
        <v>113</v>
      </c>
      <c r="G24" s="223" t="s">
        <v>114</v>
      </c>
      <c r="H24" s="223"/>
      <c r="I24" s="223"/>
      <c r="J24" s="223"/>
      <c r="K24" s="235" t="s">
        <v>116</v>
      </c>
      <c r="L24" s="223" t="s">
        <v>115</v>
      </c>
      <c r="M24" s="223"/>
      <c r="N24" s="223"/>
      <c r="O24" s="223"/>
      <c r="P24" s="235" t="s">
        <v>117</v>
      </c>
      <c r="Q24" s="235" t="s">
        <v>118</v>
      </c>
    </row>
    <row r="25" spans="1:17" x14ac:dyDescent="0.25">
      <c r="A25" s="235"/>
      <c r="B25" s="46" t="s">
        <v>108</v>
      </c>
      <c r="C25" s="46" t="s">
        <v>109</v>
      </c>
      <c r="D25" s="46" t="s">
        <v>110</v>
      </c>
      <c r="E25" s="46" t="s">
        <v>111</v>
      </c>
      <c r="F25" s="235"/>
      <c r="G25" s="46" t="s">
        <v>108</v>
      </c>
      <c r="H25" s="46" t="s">
        <v>109</v>
      </c>
      <c r="I25" s="46" t="s">
        <v>110</v>
      </c>
      <c r="J25" s="46" t="s">
        <v>111</v>
      </c>
      <c r="K25" s="235"/>
      <c r="L25" s="46" t="s">
        <v>108</v>
      </c>
      <c r="M25" s="46" t="s">
        <v>109</v>
      </c>
      <c r="N25" s="46" t="s">
        <v>110</v>
      </c>
      <c r="O25" s="46" t="s">
        <v>111</v>
      </c>
      <c r="P25" s="235"/>
      <c r="Q25" s="235"/>
    </row>
    <row r="26" spans="1:17" ht="15.75" x14ac:dyDescent="0.25">
      <c r="A26" s="47" t="s">
        <v>69</v>
      </c>
      <c r="B26" s="48">
        <f>'Данные Заявителя'!$B$12*SUM('Данные Заявителя'!C37:E37)+'Данные Заявителя'!$B$13*SUM('Данные Заявителя'!C38:E38)+'Данные Заявителя'!$B$14*SUM('Данные Заявителя'!C39:E39)+'Данные Заявителя'!$B$15*SUM('Данные Заявителя'!C40:E40)+'Данные Заявителя'!$B$16*SUM('Данные Заявителя'!C41:E41)</f>
        <v>103400</v>
      </c>
      <c r="C26" s="48">
        <f>'Данные Заявителя'!$B$12*SUM('Данные Заявителя'!F37:H37)+'Данные Заявителя'!$B$13*SUM('Данные Заявителя'!F38:H38)+'Данные Заявителя'!$B$14*SUM('Данные Заявителя'!F39:H39)+'Данные Заявителя'!$B$15*SUM('Данные Заявителя'!F40:H40)+'Данные Заявителя'!$B$16*SUM('Данные Заявителя'!F41:H41)</f>
        <v>126200</v>
      </c>
      <c r="D26" s="48">
        <f>'Данные Заявителя'!$B$12*SUM('Данные Заявителя'!I37:K37)+'Данные Заявителя'!$B$13*SUM('Данные Заявителя'!I38:K38)+'Данные Заявителя'!$B$14*SUM('Данные Заявителя'!I39:K39)+'Данные Заявителя'!$B$15*SUM('Данные Заявителя'!I40:K40)+'Данные Заявителя'!$B$16*SUM('Данные Заявителя'!I41:K41)</f>
        <v>145600</v>
      </c>
      <c r="E26" s="48">
        <f>'Данные Заявителя'!$B$12*SUM('Данные Заявителя'!L37:N37)+'Данные Заявителя'!$B$13*SUM('Данные Заявителя'!L38:N38)+'Данные Заявителя'!$B$14*SUM('Данные Заявителя'!L39:N39)+'Данные Заявителя'!$B$15*SUM('Данные Заявителя'!L40:N40)+'Данные Заявителя'!$B$16*SUM('Данные Заявителя'!L41:N41)</f>
        <v>249600</v>
      </c>
      <c r="F26" s="49">
        <f>SUM(B26:E26)</f>
        <v>624800</v>
      </c>
      <c r="G26" s="48">
        <f>('Данные Заявителя'!$B$12*SUM('Данные Заявителя'!O37:Q37)+'Данные Заявителя'!$B$13*SUM('Данные Заявителя'!O38:Q38)+'Данные Заявителя'!$B$14*SUM('Данные Заявителя'!O39:Q39)+'Данные Заявителя'!$B$15*SUM('Данные Заявителя'!O40:Q40)+'Данные Заявителя'!$B$16*SUM('Данные Заявителя'!O41:Q41))*(1+'Данные Заявителя'!$B$6)</f>
        <v>259584</v>
      </c>
      <c r="H26" s="48">
        <f>('Данные Заявителя'!$B$12*SUM('Данные Заявителя'!R37:T37)+'Данные Заявителя'!$B$13*SUM('Данные Заявителя'!R38:T38)+'Данные Заявителя'!$B$14*SUM('Данные Заявителя'!R39:T39)+'Данные Заявителя'!$B$15*SUM('Данные Заявителя'!R40:T40)+'Данные Заявителя'!$B$16*SUM('Данные Заявителя'!R41:T41))*(1+'Данные Заявителя'!$B$6)</f>
        <v>259584</v>
      </c>
      <c r="I26" s="48">
        <f>('Данные Заявителя'!$B$12*SUM('Данные Заявителя'!U37:W37)+'Данные Заявителя'!$B$13*SUM('Данные Заявителя'!U38:W38)+'Данные Заявителя'!$B$14*SUM('Данные Заявителя'!U39:W39)+'Данные Заявителя'!$B$15*SUM('Данные Заявителя'!U40:W40)+'Данные Заявителя'!$B$16*SUM('Данные Заявителя'!U41:W41))*(1+'Данные Заявителя'!$B$6)</f>
        <v>259584</v>
      </c>
      <c r="J26" s="48">
        <f>('Данные Заявителя'!$B$12*SUM('Данные Заявителя'!X37:Z37)+'Данные Заявителя'!$B$13*SUM('Данные Заявителя'!X38:Z38)+'Данные Заявителя'!$B$14*SUM('Данные Заявителя'!X39:Z39)+'Данные Заявителя'!$B$15*SUM('Данные Заявителя'!X40:Z40)+'Данные Заявителя'!$B$16*SUM('Данные Заявителя'!X41:Z41))*(1+'Данные Заявителя'!$B$6)</f>
        <v>259584</v>
      </c>
      <c r="K26" s="49">
        <f>SUM(G26:J26)</f>
        <v>1038336</v>
      </c>
      <c r="L26" s="48">
        <f>('Данные Заявителя'!$B$12*SUM('Данные Заявителя'!AA37:AC37)+'Данные Заявителя'!$B$13*SUM('Данные Заявителя'!AA38:AC38)+'Данные Заявителя'!$B$14*SUM('Данные Заявителя'!AA39:AC39)+'Данные Заявителя'!$B$15*SUM('Данные Заявителя'!AA40:AC40)+'Данные Заявителя'!$B$16*SUM('Данные Заявителя'!AA41:AC41))*(1+'Данные Заявителя'!$B$6)^2</f>
        <v>269967.36000000004</v>
      </c>
      <c r="M26" s="48">
        <f>('Данные Заявителя'!$B$12*SUM('Данные Заявителя'!AD37:AF37)+'Данные Заявителя'!$B$13*SUM('Данные Заявителя'!AD38:AF38)+'Данные Заявителя'!$B$14*SUM('Данные Заявителя'!AD39:AF39)+'Данные Заявителя'!$B$15*SUM('Данные Заявителя'!AD40:AF40)+'Данные Заявителя'!$B$16*SUM('Данные Заявителя'!AD41:AF41))*(1+'Данные Заявителя'!$B$6)^2</f>
        <v>269967.36000000004</v>
      </c>
      <c r="N26" s="48">
        <f>('Данные Заявителя'!$B$12*SUM('Данные Заявителя'!AG37:AI37)+'Данные Заявителя'!$B$13*SUM('Данные Заявителя'!AG38:AI38)+'Данные Заявителя'!$B$14*SUM('Данные Заявителя'!AG39:AI39)+'Данные Заявителя'!$B$15*SUM('Данные Заявителя'!AG40:AI40)+'Данные Заявителя'!$B$16*SUM('Данные Заявителя'!AG41:AI41))*(1+'Данные Заявителя'!$B$6)^2</f>
        <v>269967.36000000004</v>
      </c>
      <c r="O26" s="48">
        <f>('Данные Заявителя'!$B$12*SUM('Данные Заявителя'!AJ37:AL37)+'Данные Заявителя'!$B$13*SUM('Данные Заявителя'!AJ38:AL38)+'Данные Заявителя'!$B$14*SUM('Данные Заявителя'!AJ39:AL39)+'Данные Заявителя'!$B$15*SUM('Данные Заявителя'!AJ40:AL40)+'Данные Заявителя'!$B$16*SUM('Данные Заявителя'!AJ41:AL41))*(1+'Данные Заявителя'!$B$6)^2</f>
        <v>269967.36000000004</v>
      </c>
      <c r="P26" s="49">
        <f>SUM(L26:O26)</f>
        <v>1079869.4400000002</v>
      </c>
      <c r="Q26" s="49">
        <f>F26+K26+P26</f>
        <v>2743005.4400000004</v>
      </c>
    </row>
    <row r="27" spans="1:17" ht="15.75" x14ac:dyDescent="0.25">
      <c r="A27" s="47" t="s">
        <v>142</v>
      </c>
      <c r="B27" s="48">
        <f>'Данные Заявителя'!$B$48*SUM('Данные Заявителя'!C48:E48)+'Данные Заявителя'!$B$49*SUM('Данные Заявителя'!C49:E49)+'Данные Заявителя'!$B$50*SUM('Данные Заявителя'!C50:E50)+'Данные Заявителя'!$B$51*SUM('Данные Заявителя'!C51:E51)+'Данные Заявителя'!$B$52*SUM('Данные Заявителя'!C52:E52)+'Данные Заявителя'!$B$53*SUM('Данные Заявителя'!C53:E53)</f>
        <v>350000</v>
      </c>
      <c r="C27" s="48">
        <f>'Данные Заявителя'!$B$48*SUM('Данные Заявителя'!F48:H48)+'Данные Заявителя'!$B$49*SUM('Данные Заявителя'!F49:H49)+'Данные Заявителя'!$B$50*SUM('Данные Заявителя'!F50:H50)+'Данные Заявителя'!$B$51*SUM('Данные Заявителя'!F51:H51)+'Данные Заявителя'!$B$52*SUM('Данные Заявителя'!F52:H52)+'Данные Заявителя'!$B$53*SUM('Данные Заявителя'!F53:H53)</f>
        <v>615000</v>
      </c>
      <c r="D27" s="48">
        <f>'Данные Заявителя'!$B$48*SUM('Данные Заявителя'!I48:K48)+'Данные Заявителя'!$B$49*SUM('Данные Заявителя'!I49:K49)+'Данные Заявителя'!$B$50*SUM('Данные Заявителя'!I50:K50)+'Данные Заявителя'!$B$51*SUM('Данные Заявителя'!I51:K51)+'Данные Заявителя'!$B$52*SUM('Данные Заявителя'!I52:K52)+'Данные Заявителя'!$B$53*SUM('Данные Заявителя'!I53:K53)</f>
        <v>615000</v>
      </c>
      <c r="E27" s="48">
        <f>'Данные Заявителя'!$B$48*SUM('Данные Заявителя'!L48:N48)+'Данные Заявителя'!$B$49*SUM('Данные Заявителя'!L49:N49)+'Данные Заявителя'!$B$50*SUM('Данные Заявителя'!L50:N50)+'Данные Заявителя'!$B$51*SUM('Данные Заявителя'!L51:N51)+'Данные Заявителя'!$B$52*SUM('Данные Заявителя'!L52:N52)+'Данные Заявителя'!$B$53*SUM('Данные Заявителя'!L53:N53)</f>
        <v>705000</v>
      </c>
      <c r="F27" s="49">
        <f t="shared" ref="F27:F41" si="0">SUM(B27:E27)</f>
        <v>2285000</v>
      </c>
      <c r="G27" s="48">
        <f>('Данные Заявителя'!$B$48*SUM('Данные Заявителя'!O48:Q48)+'Данные Заявителя'!$B$49*SUM('Данные Заявителя'!O49:Q49)+'Данные Заявителя'!$B$50*SUM('Данные Заявителя'!O50:Q50)+'Данные Заявителя'!$B$51*SUM('Данные Заявителя'!O51:Q51)+'Данные Заявителя'!$B$52*SUM('Данные Заявителя'!O52:Q52)+'Данные Заявителя'!$B$53*SUM('Данные Заявителя'!O53:Q53))*('Данные Заявителя'!$B$7+1)</f>
        <v>906300</v>
      </c>
      <c r="H27" s="48">
        <f>('Данные Заявителя'!$B$48*SUM('Данные Заявителя'!R48:T48)+'Данные Заявителя'!$B$49*SUM('Данные Заявителя'!R49:T49)+'Данные Заявителя'!$B$50*SUM('Данные Заявителя'!R50:T50)+'Данные Заявителя'!$B$51*SUM('Данные Заявителя'!R51:T51)+'Данные Заявителя'!$B$52*SUM('Данные Заявителя'!R52:T52)+'Данные Заявителя'!$B$53*SUM('Данные Заявителя'!R53:T53))*('Данные Заявителя'!$B$7+1)</f>
        <v>906300</v>
      </c>
      <c r="I27" s="48">
        <f>('Данные Заявителя'!$B$48*SUM('Данные Заявителя'!U48:W48)+'Данные Заявителя'!$B$49*SUM('Данные Заявителя'!U49:W49)+'Данные Заявителя'!$B$50*SUM('Данные Заявителя'!U50:W50)+'Данные Заявителя'!$B$51*SUM('Данные Заявителя'!U51:W51)+'Данные Заявителя'!$B$52*SUM('Данные Заявителя'!U52:W52)+'Данные Заявителя'!$B$53*SUM('Данные Заявителя'!U53:W53))*('Данные Заявителя'!$B$7+1)</f>
        <v>906300</v>
      </c>
      <c r="J27" s="48">
        <f>('Данные Заявителя'!$B$48*SUM('Данные Заявителя'!X48:Z48)+'Данные Заявителя'!$B$49*SUM('Данные Заявителя'!X49:Z49)+'Данные Заявителя'!$B$50*SUM('Данные Заявителя'!X50:Z50)+'Данные Заявителя'!$B$51*SUM('Данные Заявителя'!X51:Z51)+'Данные Заявителя'!$B$52*SUM('Данные Заявителя'!X52:Z52)+'Данные Заявителя'!$B$53*SUM('Данные Заявителя'!X53:Z53))*('Данные Заявителя'!$B$7+1)</f>
        <v>906300</v>
      </c>
      <c r="K27" s="49">
        <f t="shared" ref="K27:K41" si="1">SUM(G27:J27)</f>
        <v>3625200</v>
      </c>
      <c r="L27" s="48">
        <f>('Данные Заявителя'!$B$48*SUM('Данные Заявителя'!AA48:AC48)+'Данные Заявителя'!$B$49*SUM('Данные Заявителя'!AA49:AC49)+'Данные Заявителя'!$B$50*SUM('Данные Заявителя'!AA50:AC50)+'Данные Заявителя'!$B$51*SUM('Данные Заявителя'!AA51:AC51)+'Данные Заявителя'!$B$52*SUM('Данные Заявителя'!AA52:AC52)+'Данные Заявителя'!$B$53*SUM('Данные Заявителя'!AA53:AC53))*('Данные Заявителя'!$B$7+1)^2</f>
        <v>1415736.0000000002</v>
      </c>
      <c r="M27" s="48">
        <f>('Данные Заявителя'!$B$48*SUM('Данные Заявителя'!AD48:AF48)+'Данные Заявителя'!$B$49*SUM('Данные Заявителя'!AD49:AF49)+'Данные Заявителя'!$B$50*SUM('Данные Заявителя'!AD50:AF50)+'Данные Заявителя'!$B$51*SUM('Данные Заявителя'!AD51:AF51)+'Данные Заявителя'!$B$52*SUM('Данные Заявителя'!AD52:AF52)+'Данные Заявителя'!$B$53*SUM('Данные Заявителя'!AD53:AF53))*('Данные Заявителя'!$B$7+1)^2</f>
        <v>1449444.0000000002</v>
      </c>
      <c r="N27" s="48">
        <f>('Данные Заявителя'!$B$48*SUM('Данные Заявителя'!AG48:AI48)+'Данные Заявителя'!$B$49*SUM('Данные Заявителя'!AG49:AI49)+'Данные Заявителя'!$B$50*SUM('Данные Заявителя'!AG50:AI50)+'Данные Заявителя'!$B$51*SUM('Данные Заявителя'!AG51:AI51)+'Данные Заявителя'!$B$52*SUM('Данные Заявителя'!AG52:AI52)+'Данные Заявителя'!$B$53*SUM('Данные Заявителя'!AG53:AI53))*('Данные Заявителя'!$B$7+1)^2</f>
        <v>1516860.0000000002</v>
      </c>
      <c r="O27" s="48">
        <f>('Данные Заявителя'!$B$48*SUM('Данные Заявителя'!AJ48:AL48)+'Данные Заявителя'!$B$49*SUM('Данные Заявителя'!AJ49:AL49)+'Данные Заявителя'!$B$50*SUM('Данные Заявителя'!AJ50:AL50)+'Данные Заявителя'!$B$51*SUM('Данные Заявителя'!AJ51:AL51)+'Данные Заявителя'!$B$52*SUM('Данные Заявителя'!AJ52:AL52)+'Данные Заявителя'!$B$53*SUM('Данные Заявителя'!AJ53:AL53))*('Данные Заявителя'!$B$7+1)^2</f>
        <v>1516860.0000000002</v>
      </c>
      <c r="P27" s="49">
        <f t="shared" ref="P27:P41" si="2">SUM(L27:O27)</f>
        <v>5898900.0000000009</v>
      </c>
      <c r="Q27" s="49">
        <f t="shared" ref="Q27:Q41" si="3">F27+K27+P27</f>
        <v>11809100</v>
      </c>
    </row>
    <row r="28" spans="1:17" ht="31.5" x14ac:dyDescent="0.25">
      <c r="A28" s="47" t="s">
        <v>70</v>
      </c>
      <c r="B28" s="48">
        <f>SUM('Данные Заявителя'!$B$108:$B$111)*B27</f>
        <v>105700.00000000001</v>
      </c>
      <c r="C28" s="48">
        <f>SUM('Данные Заявителя'!$B$108:$B$111)*C27</f>
        <v>185730.00000000003</v>
      </c>
      <c r="D28" s="48">
        <f>SUM('Данные Заявителя'!$B$108:$B$111)*D27</f>
        <v>185730.00000000003</v>
      </c>
      <c r="E28" s="48">
        <f>SUM('Данные Заявителя'!$B$108:$B$111)*E27</f>
        <v>212910.00000000003</v>
      </c>
      <c r="F28" s="49">
        <f t="shared" si="0"/>
        <v>690070.00000000012</v>
      </c>
      <c r="G28" s="48">
        <f>SUM('Данные Заявителя'!$B$108:$B$111)*G27</f>
        <v>273702.60000000003</v>
      </c>
      <c r="H28" s="48">
        <f>SUM('Данные Заявителя'!$B$108:$B$111)*H27</f>
        <v>273702.60000000003</v>
      </c>
      <c r="I28" s="48">
        <f>SUM('Данные Заявителя'!$B$108:$B$111)*I27</f>
        <v>273702.60000000003</v>
      </c>
      <c r="J28" s="48">
        <f>SUM('Данные Заявителя'!$B$108:$B$111)*J27</f>
        <v>273702.60000000003</v>
      </c>
      <c r="K28" s="49">
        <f t="shared" si="1"/>
        <v>1094810.4000000001</v>
      </c>
      <c r="L28" s="48">
        <f>SUM('Данные Заявителя'!$B$108:$B$111)*L27</f>
        <v>427552.27200000011</v>
      </c>
      <c r="M28" s="48">
        <f>SUM('Данные Заявителя'!$B$108:$B$111)*M27</f>
        <v>437732.08800000016</v>
      </c>
      <c r="N28" s="48">
        <f>SUM('Данные Заявителя'!$B$108:$B$111)*N27</f>
        <v>458091.72000000015</v>
      </c>
      <c r="O28" s="48">
        <f>SUM('Данные Заявителя'!$B$108:$B$111)*O27</f>
        <v>458091.72000000015</v>
      </c>
      <c r="P28" s="49">
        <f t="shared" si="2"/>
        <v>1781467.8000000007</v>
      </c>
      <c r="Q28" s="49">
        <f t="shared" si="3"/>
        <v>3566348.2000000011</v>
      </c>
    </row>
    <row r="29" spans="1:17" s="52" customFormat="1" ht="15.75" x14ac:dyDescent="0.25">
      <c r="A29" s="47" t="s">
        <v>120</v>
      </c>
      <c r="B29" s="50">
        <f>SUM('Данные Заявителя'!C76:E79)</f>
        <v>166666.66666666666</v>
      </c>
      <c r="C29" s="50">
        <f>SUM('Данные Заявителя'!F76:H79)</f>
        <v>175000</v>
      </c>
      <c r="D29" s="50">
        <f>SUM('Данные Заявителя'!I76:K79)</f>
        <v>204166.66666666669</v>
      </c>
      <c r="E29" s="50">
        <f>SUM('Данные Заявителя'!L76:N79)</f>
        <v>229166.66666666669</v>
      </c>
      <c r="F29" s="51">
        <f t="shared" si="0"/>
        <v>775000</v>
      </c>
      <c r="G29" s="50">
        <f>SUM('Данные Заявителя'!O76:Q79)</f>
        <v>229166.66666666669</v>
      </c>
      <c r="H29" s="50">
        <f>SUM('Данные Заявителя'!R76:T79)</f>
        <v>229166.66666666669</v>
      </c>
      <c r="I29" s="50">
        <f>SUM('Данные Заявителя'!U76:W79)</f>
        <v>229166.66666666669</v>
      </c>
      <c r="J29" s="50">
        <f>SUM('Данные Заявителя'!X76:Z79)</f>
        <v>229166.66666666669</v>
      </c>
      <c r="K29" s="51">
        <f t="shared" si="1"/>
        <v>916666.66666666674</v>
      </c>
      <c r="L29" s="50">
        <f>SUM('Данные Заявителя'!AA76:AC79)</f>
        <v>229166.66666666669</v>
      </c>
      <c r="M29" s="50">
        <f>SUM('Данные Заявителя'!AD76:AF79)</f>
        <v>220833.33333333334</v>
      </c>
      <c r="N29" s="50">
        <f>SUM('Данные Заявителя'!AG76:AI79)</f>
        <v>191666.66666666666</v>
      </c>
      <c r="O29" s="50">
        <f>SUM('Данные Заявителя'!AJ76:AL79)</f>
        <v>166666.66666666666</v>
      </c>
      <c r="P29" s="51">
        <f t="shared" si="2"/>
        <v>808333.33333333326</v>
      </c>
      <c r="Q29" s="51">
        <f t="shared" si="3"/>
        <v>2500000</v>
      </c>
    </row>
    <row r="30" spans="1:17" ht="15.75" x14ac:dyDescent="0.25">
      <c r="A30" s="47" t="s">
        <v>143</v>
      </c>
      <c r="B30" s="48">
        <f>B31+B32</f>
        <v>23866.355565375001</v>
      </c>
      <c r="C30" s="48">
        <f t="shared" ref="C30:E30" si="4">C31+C32</f>
        <v>23866.355565375001</v>
      </c>
      <c r="D30" s="48">
        <f t="shared" si="4"/>
        <v>23866.355565375001</v>
      </c>
      <c r="E30" s="48">
        <f t="shared" si="4"/>
        <v>23866.355565375001</v>
      </c>
      <c r="F30" s="49">
        <f t="shared" si="0"/>
        <v>95465.422261500004</v>
      </c>
      <c r="G30" s="48">
        <f>G31+G32</f>
        <v>28299.533348062501</v>
      </c>
      <c r="H30" s="48">
        <f t="shared" ref="H30" si="5">H31+H32</f>
        <v>28299.533348062501</v>
      </c>
      <c r="I30" s="48">
        <f t="shared" ref="I30" si="6">I31+I32</f>
        <v>28299.533348062501</v>
      </c>
      <c r="J30" s="48">
        <f t="shared" ref="J30" si="7">J31+J32</f>
        <v>28299.533348062501</v>
      </c>
      <c r="K30" s="49">
        <f t="shared" si="1"/>
        <v>113198.13339225001</v>
      </c>
      <c r="L30" s="48">
        <f>L31+L32</f>
        <v>37165.888913437506</v>
      </c>
      <c r="M30" s="48">
        <f t="shared" ref="M30" si="8">M31+M32</f>
        <v>37165.888913437506</v>
      </c>
      <c r="N30" s="48">
        <f t="shared" ref="N30" si="9">N31+N32</f>
        <v>37165.888913437506</v>
      </c>
      <c r="O30" s="48">
        <f t="shared" ref="O30" si="10">O31+O32</f>
        <v>37165.888913437506</v>
      </c>
      <c r="P30" s="49">
        <f t="shared" si="2"/>
        <v>148663.55565375002</v>
      </c>
      <c r="Q30" s="49">
        <f t="shared" si="3"/>
        <v>357327.11130750005</v>
      </c>
    </row>
    <row r="31" spans="1:17" s="57" customFormat="1" ht="12.75" x14ac:dyDescent="0.2">
      <c r="A31" s="53" t="s">
        <v>71</v>
      </c>
      <c r="B31" s="54">
        <f>C17/4</f>
        <v>8866.3555653750009</v>
      </c>
      <c r="C31" s="55">
        <f>B31</f>
        <v>8866.3555653750009</v>
      </c>
      <c r="D31" s="55">
        <f>C31</f>
        <v>8866.3555653750009</v>
      </c>
      <c r="E31" s="55">
        <f>D31</f>
        <v>8866.3555653750009</v>
      </c>
      <c r="F31" s="56">
        <f t="shared" si="0"/>
        <v>35465.422261500004</v>
      </c>
      <c r="G31" s="55">
        <f>C18/4</f>
        <v>13299.533348062501</v>
      </c>
      <c r="H31" s="55">
        <f>G31</f>
        <v>13299.533348062501</v>
      </c>
      <c r="I31" s="55">
        <f>H31</f>
        <v>13299.533348062501</v>
      </c>
      <c r="J31" s="55">
        <f>I31</f>
        <v>13299.533348062501</v>
      </c>
      <c r="K31" s="56">
        <f t="shared" si="1"/>
        <v>53198.133392250005</v>
      </c>
      <c r="L31" s="55">
        <f>C19/4</f>
        <v>22165.888913437502</v>
      </c>
      <c r="M31" s="55">
        <f>L31</f>
        <v>22165.888913437502</v>
      </c>
      <c r="N31" s="55">
        <f>M31</f>
        <v>22165.888913437502</v>
      </c>
      <c r="O31" s="55">
        <f>N31</f>
        <v>22165.888913437502</v>
      </c>
      <c r="P31" s="56">
        <f t="shared" si="2"/>
        <v>88663.555653750009</v>
      </c>
      <c r="Q31" s="56">
        <f t="shared" si="3"/>
        <v>177327.11130750002</v>
      </c>
    </row>
    <row r="32" spans="1:17" s="57" customFormat="1" ht="12.75" x14ac:dyDescent="0.2">
      <c r="A32" s="53" t="s">
        <v>72</v>
      </c>
      <c r="B32" s="54">
        <f>'Данные Заявителя'!C59+'Данные Заявителя'!D59+'Данные Заявителя'!E59</f>
        <v>15000</v>
      </c>
      <c r="C32" s="55">
        <f>+'Данные Заявителя'!F59+'Данные Заявителя'!G59+'Данные Заявителя'!H59</f>
        <v>15000</v>
      </c>
      <c r="D32" s="55">
        <f>+'Данные Заявителя'!I59+'Данные Заявителя'!J59+'Данные Заявителя'!K59</f>
        <v>15000</v>
      </c>
      <c r="E32" s="55">
        <f>+'Данные Заявителя'!L59+'Данные Заявителя'!M59+'Данные Заявителя'!N59</f>
        <v>15000</v>
      </c>
      <c r="F32" s="56">
        <f t="shared" si="0"/>
        <v>60000</v>
      </c>
      <c r="G32" s="55">
        <f>+'Данные Заявителя'!O59+'Данные Заявителя'!P59+'Данные Заявителя'!Q59</f>
        <v>15000</v>
      </c>
      <c r="H32" s="55">
        <f>+'Данные Заявителя'!R59+'Данные Заявителя'!S59+'Данные Заявителя'!T59</f>
        <v>15000</v>
      </c>
      <c r="I32" s="55">
        <f>+'Данные Заявителя'!U59+'Данные Заявителя'!V59+'Данные Заявителя'!W59</f>
        <v>15000</v>
      </c>
      <c r="J32" s="55">
        <f>+'Данные Заявителя'!X59+'Данные Заявителя'!Y59+'Данные Заявителя'!Z59</f>
        <v>15000</v>
      </c>
      <c r="K32" s="56">
        <f t="shared" si="1"/>
        <v>60000</v>
      </c>
      <c r="L32" s="55">
        <f>'Данные Заявителя'!AA59+'Данные Заявителя'!AB59+'Данные Заявителя'!AC59</f>
        <v>15000</v>
      </c>
      <c r="M32" s="55">
        <f>+'Данные Заявителя'!AD59+'Данные Заявителя'!AE59+'Данные Заявителя'!AF59</f>
        <v>15000</v>
      </c>
      <c r="N32" s="55">
        <f>+'Данные Заявителя'!AG59+'Данные Заявителя'!AH59+'Данные Заявителя'!AI59</f>
        <v>15000</v>
      </c>
      <c r="O32" s="55">
        <f>+'Данные Заявителя'!AJ59+'Данные Заявителя'!AK59+'Данные Заявителя'!AL59</f>
        <v>15000</v>
      </c>
      <c r="P32" s="56">
        <f t="shared" si="2"/>
        <v>60000</v>
      </c>
      <c r="Q32" s="56">
        <f t="shared" si="3"/>
        <v>180000</v>
      </c>
    </row>
    <row r="33" spans="1:17" ht="15.75" customHeight="1" x14ac:dyDescent="0.25">
      <c r="A33" s="47" t="s">
        <v>64</v>
      </c>
      <c r="B33" s="58">
        <f>'Данные Заявителя'!C60+'Данные Заявителя'!D60+'Данные Заявителя'!E60</f>
        <v>1500</v>
      </c>
      <c r="C33" s="59">
        <f>'Данные Заявителя'!F60+'Данные Заявителя'!G60+'Данные Заявителя'!H60</f>
        <v>1500</v>
      </c>
      <c r="D33" s="59">
        <f>+'Данные Заявителя'!I60+'Данные Заявителя'!J60+'Данные Заявителя'!K60</f>
        <v>1500</v>
      </c>
      <c r="E33" s="59">
        <f>+'Данные Заявителя'!L60+'Данные Заявителя'!M60+'Данные Заявителя'!N60</f>
        <v>1500</v>
      </c>
      <c r="F33" s="56">
        <f t="shared" si="0"/>
        <v>6000</v>
      </c>
      <c r="G33" s="59">
        <f>'Данные Заявителя'!O60+'Данные Заявителя'!P60+'Данные Заявителя'!Q60</f>
        <v>1500</v>
      </c>
      <c r="H33" s="59">
        <f>+'Данные Заявителя'!R60+'Данные Заявителя'!S60+'Данные Заявителя'!T60</f>
        <v>1500</v>
      </c>
      <c r="I33" s="59">
        <f>+'Данные Заявителя'!U60+'Данные Заявителя'!V60+'Данные Заявителя'!W60</f>
        <v>1500</v>
      </c>
      <c r="J33" s="59">
        <f>+'Данные Заявителя'!X60+'Данные Заявителя'!Y60+'Данные Заявителя'!Z60</f>
        <v>1500</v>
      </c>
      <c r="K33" s="56">
        <f t="shared" si="1"/>
        <v>6000</v>
      </c>
      <c r="L33" s="59">
        <f>+'Данные Заявителя'!AA60+'Данные Заявителя'!AB60+'Данные Заявителя'!AC60</f>
        <v>1500</v>
      </c>
      <c r="M33" s="59">
        <f>+'Данные Заявителя'!AD60+'Данные Заявителя'!AE60+'Данные Заявителя'!AF60</f>
        <v>1500</v>
      </c>
      <c r="N33" s="59">
        <f>+'Данные Заявителя'!AG60+'Данные Заявителя'!AH60+'Данные Заявителя'!AI60</f>
        <v>1500</v>
      </c>
      <c r="O33" s="59">
        <f>+'Данные Заявителя'!AJ60+'Данные Заявителя'!AK60+'Данные Заявителя'!AL60</f>
        <v>1500</v>
      </c>
      <c r="P33" s="56">
        <f t="shared" si="2"/>
        <v>6000</v>
      </c>
      <c r="Q33" s="56">
        <f t="shared" si="3"/>
        <v>18000</v>
      </c>
    </row>
    <row r="34" spans="1:17" ht="15.75" x14ac:dyDescent="0.25">
      <c r="A34" s="47" t="s">
        <v>65</v>
      </c>
      <c r="B34" s="58">
        <f>'Данные Заявителя'!C61+'Данные Заявителя'!D61+'Данные Заявителя'!E61</f>
        <v>3000</v>
      </c>
      <c r="C34" s="59">
        <f>'Данные Заявителя'!F61+'Данные Заявителя'!G61+'Данные Заявителя'!H61</f>
        <v>3000</v>
      </c>
      <c r="D34" s="59">
        <f>+'Данные Заявителя'!I61+'Данные Заявителя'!J61+'Данные Заявителя'!K61</f>
        <v>3000</v>
      </c>
      <c r="E34" s="59">
        <f>+'Данные Заявителя'!L61+'Данные Заявителя'!M61+'Данные Заявителя'!N61</f>
        <v>3000</v>
      </c>
      <c r="F34" s="56">
        <f t="shared" si="0"/>
        <v>12000</v>
      </c>
      <c r="G34" s="59">
        <f>'Данные Заявителя'!O61+'Данные Заявителя'!P61+'Данные Заявителя'!Q61</f>
        <v>3000</v>
      </c>
      <c r="H34" s="59">
        <f>+'Данные Заявителя'!R61+'Данные Заявителя'!S61+'Данные Заявителя'!T61</f>
        <v>3000</v>
      </c>
      <c r="I34" s="59">
        <f>+'Данные Заявителя'!U61+'Данные Заявителя'!V61+'Данные Заявителя'!W61</f>
        <v>3000</v>
      </c>
      <c r="J34" s="59">
        <f>+'Данные Заявителя'!X61+'Данные Заявителя'!Y61+'Данные Заявителя'!Z61</f>
        <v>3000</v>
      </c>
      <c r="K34" s="56">
        <f t="shared" si="1"/>
        <v>12000</v>
      </c>
      <c r="L34" s="59">
        <f>+'Данные Заявителя'!AA61+'Данные Заявителя'!AB61+'Данные Заявителя'!AC61</f>
        <v>3000</v>
      </c>
      <c r="M34" s="59">
        <f>+'Данные Заявителя'!AD61+'Данные Заявителя'!AE61+'Данные Заявителя'!AF61</f>
        <v>3000</v>
      </c>
      <c r="N34" s="59">
        <f>+'Данные Заявителя'!AG61+'Данные Заявителя'!AH61+'Данные Заявителя'!AI61</f>
        <v>3000</v>
      </c>
      <c r="O34" s="59">
        <f>+'Данные Заявителя'!AJ61+'Данные Заявителя'!AK61+'Данные Заявителя'!AL61</f>
        <v>3000</v>
      </c>
      <c r="P34" s="56">
        <f t="shared" si="2"/>
        <v>12000</v>
      </c>
      <c r="Q34" s="56">
        <f t="shared" si="3"/>
        <v>36000</v>
      </c>
    </row>
    <row r="35" spans="1:17" ht="15.75" customHeight="1" x14ac:dyDescent="0.25">
      <c r="A35" s="47" t="s">
        <v>66</v>
      </c>
      <c r="B35" s="58">
        <f>'Данные Заявителя'!C62+'Данные Заявителя'!D62+'Данные Заявителя'!E62</f>
        <v>1350</v>
      </c>
      <c r="C35" s="59">
        <f>'Данные Заявителя'!F62+'Данные Заявителя'!G62+'Данные Заявителя'!H62</f>
        <v>1350</v>
      </c>
      <c r="D35" s="59">
        <f>+'Данные Заявителя'!I62+'Данные Заявителя'!J62+'Данные Заявителя'!K62</f>
        <v>1350</v>
      </c>
      <c r="E35" s="59">
        <f>+'Данные Заявителя'!L62+'Данные Заявителя'!M62+'Данные Заявителя'!N62</f>
        <v>1350</v>
      </c>
      <c r="F35" s="56">
        <f t="shared" si="0"/>
        <v>5400</v>
      </c>
      <c r="G35" s="59">
        <f>'Данные Заявителя'!O62+'Данные Заявителя'!P62+'Данные Заявителя'!Q62</f>
        <v>1350</v>
      </c>
      <c r="H35" s="59">
        <f>+'Данные Заявителя'!R62+'Данные Заявителя'!S62+'Данные Заявителя'!T62</f>
        <v>1350</v>
      </c>
      <c r="I35" s="59">
        <f>+'Данные Заявителя'!U62+'Данные Заявителя'!V62+'Данные Заявителя'!W62</f>
        <v>1350</v>
      </c>
      <c r="J35" s="59">
        <f>+'Данные Заявителя'!X62+'Данные Заявителя'!Y62+'Данные Заявителя'!Z62</f>
        <v>1350</v>
      </c>
      <c r="K35" s="56">
        <f t="shared" si="1"/>
        <v>5400</v>
      </c>
      <c r="L35" s="59">
        <f>+'Данные Заявителя'!AA62+'Данные Заявителя'!AB62+'Данные Заявителя'!AC62</f>
        <v>1350</v>
      </c>
      <c r="M35" s="59">
        <f>+'Данные Заявителя'!AD62+'Данные Заявителя'!AE62+'Данные Заявителя'!AF62</f>
        <v>1350</v>
      </c>
      <c r="N35" s="59">
        <f>+'Данные Заявителя'!AG62+'Данные Заявителя'!AH62+'Данные Заявителя'!AI62</f>
        <v>1350</v>
      </c>
      <c r="O35" s="59">
        <f>+'Данные Заявителя'!AJ62+'Данные Заявителя'!AK62+'Данные Заявителя'!AL62</f>
        <v>1350</v>
      </c>
      <c r="P35" s="56">
        <f t="shared" si="2"/>
        <v>5400</v>
      </c>
      <c r="Q35" s="56">
        <f t="shared" si="3"/>
        <v>16200</v>
      </c>
    </row>
    <row r="36" spans="1:17" ht="31.5" x14ac:dyDescent="0.25">
      <c r="A36" s="60" t="s">
        <v>80</v>
      </c>
      <c r="B36" s="58">
        <f>'Данные Заявителя'!C63+'Данные Заявителя'!D63+'Данные Заявителя'!E63</f>
        <v>0</v>
      </c>
      <c r="C36" s="59">
        <f>'Данные Заявителя'!F63+'Данные Заявителя'!G63+'Данные Заявителя'!H63</f>
        <v>0</v>
      </c>
      <c r="D36" s="59">
        <f>+'Данные Заявителя'!I63+'Данные Заявителя'!J63+'Данные Заявителя'!K63</f>
        <v>0</v>
      </c>
      <c r="E36" s="59">
        <f>+'Данные Заявителя'!L63+'Данные Заявителя'!M63+'Данные Заявителя'!N63</f>
        <v>0</v>
      </c>
      <c r="F36" s="56">
        <f t="shared" si="0"/>
        <v>0</v>
      </c>
      <c r="G36" s="59">
        <f>'Данные Заявителя'!O63+'Данные Заявителя'!P63+'Данные Заявителя'!Q63</f>
        <v>15000</v>
      </c>
      <c r="H36" s="59">
        <f>+'Данные Заявителя'!R63+'Данные Заявителя'!S63+'Данные Заявителя'!T63</f>
        <v>15000</v>
      </c>
      <c r="I36" s="59">
        <f>+'Данные Заявителя'!U63+'Данные Заявителя'!V63+'Данные Заявителя'!W63</f>
        <v>15000</v>
      </c>
      <c r="J36" s="59">
        <f>+'Данные Заявителя'!X63+'Данные Заявителя'!Y63+'Данные Заявителя'!Z63</f>
        <v>15000</v>
      </c>
      <c r="K36" s="56">
        <f t="shared" si="1"/>
        <v>60000</v>
      </c>
      <c r="L36" s="59">
        <f>+'Данные Заявителя'!AA63+'Данные Заявителя'!AB63+'Данные Заявителя'!AC63</f>
        <v>15000</v>
      </c>
      <c r="M36" s="59">
        <f>+'Данные Заявителя'!AD63+'Данные Заявителя'!AE63+'Данные Заявителя'!AF63</f>
        <v>15000</v>
      </c>
      <c r="N36" s="59">
        <f>+'Данные Заявителя'!AG63+'Данные Заявителя'!AH63+'Данные Заявителя'!AI63</f>
        <v>15000</v>
      </c>
      <c r="O36" s="59">
        <f>+'Данные Заявителя'!AJ63+'Данные Заявителя'!AK63+'Данные Заявителя'!AL63</f>
        <v>15000</v>
      </c>
      <c r="P36" s="56">
        <f t="shared" si="2"/>
        <v>60000</v>
      </c>
      <c r="Q36" s="56">
        <f t="shared" si="3"/>
        <v>120000</v>
      </c>
    </row>
    <row r="37" spans="1:17" ht="47.25" x14ac:dyDescent="0.25">
      <c r="A37" s="47" t="s">
        <v>67</v>
      </c>
      <c r="B37" s="58">
        <f>'Данные Заявителя'!C64+'Данные Заявителя'!D64+'Данные Заявителя'!E64</f>
        <v>0</v>
      </c>
      <c r="C37" s="59">
        <f>'Данные Заявителя'!F64+'Данные Заявителя'!G64+'Данные Заявителя'!H64</f>
        <v>5000</v>
      </c>
      <c r="D37" s="59">
        <f>+'Данные Заявителя'!I64+'Данные Заявителя'!J64+'Данные Заявителя'!K64</f>
        <v>15000</v>
      </c>
      <c r="E37" s="59">
        <f>+'Данные Заявителя'!L64+'Данные Заявителя'!M64+'Данные Заявителя'!N64</f>
        <v>15000</v>
      </c>
      <c r="F37" s="56">
        <f t="shared" si="0"/>
        <v>35000</v>
      </c>
      <c r="G37" s="59">
        <f>'Данные Заявителя'!O64+'Данные Заявителя'!P64+'Данные Заявителя'!Q64</f>
        <v>30000</v>
      </c>
      <c r="H37" s="59">
        <f>+'Данные Заявителя'!R64+'Данные Заявителя'!S64+'Данные Заявителя'!T64</f>
        <v>30000</v>
      </c>
      <c r="I37" s="59">
        <f>+'Данные Заявителя'!U64+'Данные Заявителя'!V64+'Данные Заявителя'!W64</f>
        <v>30000</v>
      </c>
      <c r="J37" s="59">
        <f>+'Данные Заявителя'!X64+'Данные Заявителя'!Y64+'Данные Заявителя'!Z64</f>
        <v>30000</v>
      </c>
      <c r="K37" s="56">
        <f t="shared" si="1"/>
        <v>120000</v>
      </c>
      <c r="L37" s="59">
        <f>+'Данные Заявителя'!AA64+'Данные Заявителя'!AB64+'Данные Заявителя'!AC64</f>
        <v>30000</v>
      </c>
      <c r="M37" s="59">
        <f>+'Данные Заявителя'!AD64+'Данные Заявителя'!AE64+'Данные Заявителя'!AF64</f>
        <v>30000</v>
      </c>
      <c r="N37" s="59">
        <f>+'Данные Заявителя'!AG64+'Данные Заявителя'!AH64+'Данные Заявителя'!AI64</f>
        <v>30000</v>
      </c>
      <c r="O37" s="59">
        <f>+'Данные Заявителя'!AJ64+'Данные Заявителя'!AK64+'Данные Заявителя'!AL64</f>
        <v>30000</v>
      </c>
      <c r="P37" s="56">
        <f t="shared" si="2"/>
        <v>120000</v>
      </c>
      <c r="Q37" s="56">
        <f t="shared" si="3"/>
        <v>275000</v>
      </c>
    </row>
    <row r="38" spans="1:17" ht="15.75" customHeight="1" x14ac:dyDescent="0.25">
      <c r="A38" s="47" t="s">
        <v>68</v>
      </c>
      <c r="B38" s="58">
        <f>'Данные Заявителя'!C65+'Данные Заявителя'!D65+'Данные Заявителя'!E65</f>
        <v>300</v>
      </c>
      <c r="C38" s="59">
        <f>'Данные Заявителя'!F65+'Данные Заявителя'!G65+'Данные Заявителя'!H65</f>
        <v>300</v>
      </c>
      <c r="D38" s="59">
        <f>+'Данные Заявителя'!I65+'Данные Заявителя'!J65+'Данные Заявителя'!K65</f>
        <v>300</v>
      </c>
      <c r="E38" s="59">
        <f>+'Данные Заявителя'!L65+'Данные Заявителя'!M65+'Данные Заявителя'!N65</f>
        <v>300</v>
      </c>
      <c r="F38" s="56">
        <f t="shared" si="0"/>
        <v>1200</v>
      </c>
      <c r="G38" s="59">
        <f>'Данные Заявителя'!O65+'Данные Заявителя'!P65+'Данные Заявителя'!Q65</f>
        <v>300</v>
      </c>
      <c r="H38" s="59">
        <f>+'Данные Заявителя'!R65+'Данные Заявителя'!S65+'Данные Заявителя'!T65</f>
        <v>300</v>
      </c>
      <c r="I38" s="59">
        <f>+'Данные Заявителя'!U65+'Данные Заявителя'!V65+'Данные Заявителя'!W65</f>
        <v>300</v>
      </c>
      <c r="J38" s="59">
        <f>+'Данные Заявителя'!X65+'Данные Заявителя'!Y65+'Данные Заявителя'!Z65</f>
        <v>300</v>
      </c>
      <c r="K38" s="56">
        <f t="shared" si="1"/>
        <v>1200</v>
      </c>
      <c r="L38" s="59">
        <f>+'Данные Заявителя'!AA65+'Данные Заявителя'!AB65+'Данные Заявителя'!AC65</f>
        <v>300</v>
      </c>
      <c r="M38" s="59">
        <f>+'Данные Заявителя'!AD65+'Данные Заявителя'!AE65+'Данные Заявителя'!AF65</f>
        <v>300</v>
      </c>
      <c r="N38" s="59">
        <f>+'Данные Заявителя'!AG65+'Данные Заявителя'!AH65+'Данные Заявителя'!AI65</f>
        <v>300</v>
      </c>
      <c r="O38" s="59">
        <f>+'Данные Заявителя'!AJ65+'Данные Заявителя'!AK65+'Данные Заявителя'!AL65</f>
        <v>300</v>
      </c>
      <c r="P38" s="56">
        <f t="shared" si="2"/>
        <v>1200</v>
      </c>
      <c r="Q38" s="56">
        <f t="shared" si="3"/>
        <v>3600</v>
      </c>
    </row>
    <row r="39" spans="1:17" ht="15.75" customHeight="1" x14ac:dyDescent="0.25">
      <c r="A39" s="47" t="str">
        <f>'Данные Заявителя'!A66:B66</f>
        <v>Прочие расходы</v>
      </c>
      <c r="B39" s="58">
        <f>'Данные Заявителя'!C66+'Данные Заявителя'!D66+'Данные Заявителя'!E66</f>
        <v>2100</v>
      </c>
      <c r="C39" s="59">
        <f>'Данные Заявителя'!F66+'Данные Заявителя'!G66+'Данные Заявителя'!H66</f>
        <v>2100</v>
      </c>
      <c r="D39" s="59">
        <f>+'Данные Заявителя'!I66+'Данные Заявителя'!J66+'Данные Заявителя'!K66</f>
        <v>2100</v>
      </c>
      <c r="E39" s="59">
        <f>+'Данные Заявителя'!L66+'Данные Заявителя'!M66+'Данные Заявителя'!N66</f>
        <v>2100</v>
      </c>
      <c r="F39" s="56">
        <f t="shared" si="0"/>
        <v>8400</v>
      </c>
      <c r="G39" s="59">
        <f>'Данные Заявителя'!O66+'Данные Заявителя'!P66+'Данные Заявителя'!Q66</f>
        <v>2100</v>
      </c>
      <c r="H39" s="59">
        <f>+'Данные Заявителя'!R66+'Данные Заявителя'!S66+'Данные Заявителя'!T66</f>
        <v>2100</v>
      </c>
      <c r="I39" s="59">
        <f>+'Данные Заявителя'!U66+'Данные Заявителя'!V66+'Данные Заявителя'!W66</f>
        <v>2100</v>
      </c>
      <c r="J39" s="59">
        <f>+'Данные Заявителя'!X66+'Данные Заявителя'!Y66+'Данные Заявителя'!Z66</f>
        <v>2100</v>
      </c>
      <c r="K39" s="56">
        <f t="shared" si="1"/>
        <v>8400</v>
      </c>
      <c r="L39" s="59">
        <f>+'Данные Заявителя'!AA66+'Данные Заявителя'!AB66+'Данные Заявителя'!AC66</f>
        <v>2100</v>
      </c>
      <c r="M39" s="59">
        <f>+'Данные Заявителя'!AD66+'Данные Заявителя'!AE66+'Данные Заявителя'!AF66</f>
        <v>2100</v>
      </c>
      <c r="N39" s="59">
        <f>+'Данные Заявителя'!AG66+'Данные Заявителя'!AH66+'Данные Заявителя'!AI66</f>
        <v>2100</v>
      </c>
      <c r="O39" s="59">
        <f>+'Данные Заявителя'!AJ66+'Данные Заявителя'!AK66+'Данные Заявителя'!AL66</f>
        <v>2100</v>
      </c>
      <c r="P39" s="56">
        <f t="shared" si="2"/>
        <v>8400</v>
      </c>
      <c r="Q39" s="56">
        <f t="shared" si="3"/>
        <v>25200</v>
      </c>
    </row>
    <row r="40" spans="1:17" ht="15.75" customHeight="1" x14ac:dyDescent="0.25">
      <c r="A40" s="47" t="s">
        <v>145</v>
      </c>
      <c r="B40" s="61">
        <f>SUM('Данные Заявителя'!C130:C132)</f>
        <v>24999.989999999998</v>
      </c>
      <c r="C40" s="59">
        <f>SUM('Данные Заявителя'!C133:C135)</f>
        <v>24336.85</v>
      </c>
      <c r="D40" s="59">
        <f>SUM('Данные Заявителя'!C136:C138)</f>
        <v>22319.63</v>
      </c>
      <c r="E40" s="59">
        <f>SUM('Данные Заявителя'!C139:C141)</f>
        <v>20251.55</v>
      </c>
      <c r="F40" s="56">
        <f t="shared" si="0"/>
        <v>91908.02</v>
      </c>
      <c r="G40" s="59">
        <f>SUM('Данные Заявителя'!C142:C144)</f>
        <v>18131.34</v>
      </c>
      <c r="H40" s="59">
        <f>SUM('Данные Заявителя'!C145:C147)</f>
        <v>15957.67</v>
      </c>
      <c r="I40" s="59">
        <f>SUM('Данные Заявителя'!C148:C150)</f>
        <v>13729.220000000001</v>
      </c>
      <c r="J40" s="59">
        <f>SUM('Данные Заявителя'!C151:C153)</f>
        <v>11444.59</v>
      </c>
      <c r="K40" s="56">
        <f t="shared" si="1"/>
        <v>59262.820000000007</v>
      </c>
      <c r="L40" s="59">
        <f>SUM('Данные Заявителя'!C154:C156)</f>
        <v>9102.36</v>
      </c>
      <c r="M40" s="59">
        <f>SUM('Данные Заявителя'!C157:C159)</f>
        <v>6701.09</v>
      </c>
      <c r="N40" s="59">
        <f>SUM('Данные Заявителя'!C160:C162)</f>
        <v>4239.28</v>
      </c>
      <c r="O40" s="59">
        <f>SUM('Данные Заявителя'!C163:C165)</f>
        <v>1715.42</v>
      </c>
      <c r="P40" s="56">
        <f t="shared" si="2"/>
        <v>21758.15</v>
      </c>
      <c r="Q40" s="56">
        <f t="shared" si="3"/>
        <v>172928.99000000002</v>
      </c>
    </row>
    <row r="41" spans="1:17" s="64" customFormat="1" ht="15.75" x14ac:dyDescent="0.25">
      <c r="A41" s="62" t="s">
        <v>144</v>
      </c>
      <c r="B41" s="63">
        <f>SUM(B33:B40,B26:B30)</f>
        <v>782883.01223204157</v>
      </c>
      <c r="C41" s="63">
        <f t="shared" ref="C41:E41" si="11">SUM(C33:C40,C26:C30)</f>
        <v>1163383.205565375</v>
      </c>
      <c r="D41" s="63">
        <f t="shared" si="11"/>
        <v>1219932.6522320416</v>
      </c>
      <c r="E41" s="63">
        <f t="shared" si="11"/>
        <v>1464044.5722320417</v>
      </c>
      <c r="F41" s="56">
        <f t="shared" si="0"/>
        <v>4630243.4422615003</v>
      </c>
      <c r="G41" s="63">
        <f>SUM(G33:G40,G26:G30)</f>
        <v>1768434.1400147292</v>
      </c>
      <c r="H41" s="63">
        <f t="shared" ref="H41" si="12">SUM(H33:H40,H26:H30)</f>
        <v>1766260.4700147293</v>
      </c>
      <c r="I41" s="63">
        <f t="shared" ref="I41" si="13">SUM(I33:I40,I26:I30)</f>
        <v>1764032.0200147294</v>
      </c>
      <c r="J41" s="63">
        <f t="shared" ref="J41" si="14">SUM(J33:J40,J26:J30)</f>
        <v>1761747.3900147292</v>
      </c>
      <c r="K41" s="56">
        <f t="shared" si="1"/>
        <v>7060474.0200589178</v>
      </c>
      <c r="L41" s="63">
        <f>SUM(L33:L40,L26:L30)</f>
        <v>2441940.5475801048</v>
      </c>
      <c r="M41" s="63">
        <f t="shared" ref="M41" si="15">SUM(M33:M40,M26:M30)</f>
        <v>2475093.7602467714</v>
      </c>
      <c r="N41" s="63">
        <f t="shared" ref="N41" si="16">SUM(N33:N40,N26:N30)</f>
        <v>2531240.9155801046</v>
      </c>
      <c r="O41" s="63">
        <f t="shared" ref="O41" si="17">SUM(O33:O40,O26:O30)</f>
        <v>2503717.0555801047</v>
      </c>
      <c r="P41" s="56">
        <f t="shared" si="2"/>
        <v>9951992.2789870873</v>
      </c>
      <c r="Q41" s="56">
        <f t="shared" si="3"/>
        <v>21642709.741307504</v>
      </c>
    </row>
    <row r="43" spans="1:17" x14ac:dyDescent="0.25">
      <c r="A43" s="33" t="s">
        <v>241</v>
      </c>
    </row>
    <row r="44" spans="1:17" x14ac:dyDescent="0.25">
      <c r="A44" s="235" t="s">
        <v>138</v>
      </c>
      <c r="B44" s="223" t="s">
        <v>112</v>
      </c>
      <c r="C44" s="223"/>
      <c r="D44" s="223"/>
      <c r="E44" s="223"/>
      <c r="F44" s="235" t="s">
        <v>113</v>
      </c>
      <c r="G44" s="223" t="s">
        <v>114</v>
      </c>
      <c r="H44" s="223"/>
      <c r="I44" s="223"/>
      <c r="J44" s="223"/>
      <c r="K44" s="235" t="s">
        <v>116</v>
      </c>
      <c r="L44" s="223" t="s">
        <v>115</v>
      </c>
      <c r="M44" s="223"/>
      <c r="N44" s="223"/>
      <c r="O44" s="223"/>
      <c r="P44" s="235" t="s">
        <v>117</v>
      </c>
      <c r="Q44" s="235" t="s">
        <v>118</v>
      </c>
    </row>
    <row r="45" spans="1:17" x14ac:dyDescent="0.25">
      <c r="A45" s="235"/>
      <c r="B45" s="46" t="s">
        <v>108</v>
      </c>
      <c r="C45" s="46" t="s">
        <v>109</v>
      </c>
      <c r="D45" s="46" t="s">
        <v>110</v>
      </c>
      <c r="E45" s="46" t="s">
        <v>111</v>
      </c>
      <c r="F45" s="235"/>
      <c r="G45" s="46" t="s">
        <v>108</v>
      </c>
      <c r="H45" s="46" t="s">
        <v>109</v>
      </c>
      <c r="I45" s="46" t="s">
        <v>110</v>
      </c>
      <c r="J45" s="46" t="s">
        <v>111</v>
      </c>
      <c r="K45" s="235"/>
      <c r="L45" s="46" t="s">
        <v>108</v>
      </c>
      <c r="M45" s="46" t="s">
        <v>109</v>
      </c>
      <c r="N45" s="46" t="s">
        <v>110</v>
      </c>
      <c r="O45" s="46" t="s">
        <v>111</v>
      </c>
      <c r="P45" s="235"/>
      <c r="Q45" s="235"/>
    </row>
    <row r="46" spans="1:17" x14ac:dyDescent="0.25">
      <c r="A46" s="35" t="str">
        <f>'Данные Заявителя'!A37</f>
        <v>товар/услуга 1</v>
      </c>
      <c r="B46" s="65">
        <f>'Данные Заявителя'!$B37*SUM('Данные Заявителя'!C37:E37)</f>
        <v>105000</v>
      </c>
      <c r="C46" s="65">
        <f>'Данные Заявителя'!$B37*SUM('Данные Заявителя'!F37:H37)</f>
        <v>195000</v>
      </c>
      <c r="D46" s="65">
        <f>'Данные Заявителя'!$B37*SUM('Данные Заявителя'!I37:K37)</f>
        <v>300000</v>
      </c>
      <c r="E46" s="65">
        <f>'Данные Заявителя'!$B37*SUM('Данные Заявителя'!L37:N37)</f>
        <v>450000</v>
      </c>
      <c r="F46" s="66">
        <f>SUM(B46:E46)</f>
        <v>1050000</v>
      </c>
      <c r="G46" s="65">
        <f>'Данные Заявителя'!$B37*SUM('Данные Заявителя'!O37:Q37)*(1+'Данные Заявителя'!$B$6)</f>
        <v>468000</v>
      </c>
      <c r="H46" s="65">
        <f>'Данные Заявителя'!$B37*SUM('Данные Заявителя'!R37:T37)*(1+'Данные Заявителя'!$B$6)</f>
        <v>468000</v>
      </c>
      <c r="I46" s="65">
        <f>'Данные Заявителя'!$B37*SUM('Данные Заявителя'!U37:W37)*(1+'Данные Заявителя'!$B$6)</f>
        <v>468000</v>
      </c>
      <c r="J46" s="65">
        <f>'Данные Заявителя'!$B37*SUM('Данные Заявителя'!X37:Z37)*(1+'Данные Заявителя'!$B$6)</f>
        <v>468000</v>
      </c>
      <c r="K46" s="66">
        <f>SUM(G46:J46)</f>
        <v>1872000</v>
      </c>
      <c r="L46" s="65">
        <f>'Данные Заявителя'!$B37*SUM('Данные Заявителя'!AA37:AC37)*(1+'Данные Заявителя'!$B$6)*(1+'Данные Заявителя'!$B$6)</f>
        <v>486720</v>
      </c>
      <c r="M46" s="65">
        <f>'Данные Заявителя'!$B37*SUM('Данные Заявителя'!AD37:AF37)*(1+'Данные Заявителя'!$B$6)*(1+'Данные Заявителя'!$B$6)</f>
        <v>486720</v>
      </c>
      <c r="N46" s="65">
        <f>'Данные Заявителя'!$B37*SUM('Данные Заявителя'!AG37:AI37)*(1+'Данные Заявителя'!$B$6)*(1+'Данные Заявителя'!$B$6)</f>
        <v>486720</v>
      </c>
      <c r="O46" s="65">
        <f>'Данные Заявителя'!$B37*SUM('Данные Заявителя'!AJ37:AL37)*(1+'Данные Заявителя'!$B$6)*(1+'Данные Заявителя'!$B$6)</f>
        <v>486720</v>
      </c>
      <c r="P46" s="66">
        <f>SUM(L46:O46)</f>
        <v>1946880</v>
      </c>
      <c r="Q46" s="67">
        <f>F46+K46+P46</f>
        <v>4868880</v>
      </c>
    </row>
    <row r="47" spans="1:17" x14ac:dyDescent="0.25">
      <c r="A47" s="35" t="str">
        <f>'Данные Заявителя'!A38</f>
        <v>товар/услуга 2</v>
      </c>
      <c r="B47" s="65">
        <f>'Данные Заявителя'!$B38*SUM('Данные Заявителя'!C38:E38)</f>
        <v>0</v>
      </c>
      <c r="C47" s="65">
        <f>'Данные Заявителя'!$B38*SUM('Данные Заявителя'!F38:H38)</f>
        <v>192000</v>
      </c>
      <c r="D47" s="65">
        <f>'Данные Заявителя'!$B38*SUM('Данные Заявителя'!I38:K38)</f>
        <v>192000</v>
      </c>
      <c r="E47" s="65">
        <f>'Данные Заявителя'!$B38*SUM('Данные Заявителя'!L38:N38)</f>
        <v>192000</v>
      </c>
      <c r="F47" s="66">
        <f t="shared" ref="F47:F51" si="18">SUM(B47:E47)</f>
        <v>576000</v>
      </c>
      <c r="G47" s="65">
        <f>'Данные Заявителя'!$B38*SUM('Данные Заявителя'!O38:Q38)*(1+'Данные Заявителя'!$B$6)</f>
        <v>199680</v>
      </c>
      <c r="H47" s="65">
        <f>'Данные Заявителя'!$B38*SUM('Данные Заявителя'!R38:T38)*(1+'Данные Заявителя'!$B$6)</f>
        <v>199680</v>
      </c>
      <c r="I47" s="65">
        <f>'Данные Заявителя'!$B38*SUM('Данные Заявителя'!U38:W38)*(1+'Данные Заявителя'!$B$6)</f>
        <v>199680</v>
      </c>
      <c r="J47" s="65">
        <f>'Данные Заявителя'!$B38*SUM('Данные Заявителя'!X38:Z38)*(1+'Данные Заявителя'!$B$6)</f>
        <v>199680</v>
      </c>
      <c r="K47" s="66">
        <f t="shared" ref="K47:K51" si="19">SUM(G47:J47)</f>
        <v>798720</v>
      </c>
      <c r="L47" s="65">
        <f>'Данные Заявителя'!$B38*SUM('Данные Заявителя'!AA38:AC38)*(1+'Данные Заявителя'!$B$6)*(1+'Данные Заявителя'!$B$6)</f>
        <v>207667.20000000001</v>
      </c>
      <c r="M47" s="65">
        <f>'Данные Заявителя'!$B38*SUM('Данные Заявителя'!AD38:AF38)*(1+'Данные Заявителя'!$B$6)*(1+'Данные Заявителя'!$B$6)</f>
        <v>207667.20000000001</v>
      </c>
      <c r="N47" s="65">
        <f>'Данные Заявителя'!$B38*SUM('Данные Заявителя'!AG38:AI38)*(1+'Данные Заявителя'!$B$6)*(1+'Данные Заявителя'!$B$6)</f>
        <v>207667.20000000001</v>
      </c>
      <c r="O47" s="65">
        <f>'Данные Заявителя'!$B38*SUM('Данные Заявителя'!AJ38:AL38)*(1+'Данные Заявителя'!$B$6)*(1+'Данные Заявителя'!$B$6)</f>
        <v>207667.20000000001</v>
      </c>
      <c r="P47" s="66">
        <f t="shared" ref="P47:P51" si="20">SUM(L47:O47)</f>
        <v>830668.80000000005</v>
      </c>
      <c r="Q47" s="67">
        <f t="shared" ref="Q47:Q51" si="21">F47+K47+P47</f>
        <v>2205388.7999999998</v>
      </c>
    </row>
    <row r="48" spans="1:17" x14ac:dyDescent="0.25">
      <c r="A48" s="35" t="str">
        <f>'Данные Заявителя'!A39</f>
        <v>товар/услуга 3</v>
      </c>
      <c r="B48" s="65">
        <f>'Данные Заявителя'!$B39*SUM('Данные Заявителя'!C39:E39)</f>
        <v>102000</v>
      </c>
      <c r="C48" s="65">
        <f>'Данные Заявителя'!$B39*SUM('Данные Заявителя'!F39:H39)</f>
        <v>255000</v>
      </c>
      <c r="D48" s="65">
        <f>'Данные Заявителя'!$B39*SUM('Данные Заявителя'!I39:K39)</f>
        <v>408000</v>
      </c>
      <c r="E48" s="65">
        <f>'Данные Заявителя'!$B39*SUM('Данные Заявителя'!L39:N39)</f>
        <v>510000</v>
      </c>
      <c r="F48" s="66">
        <f t="shared" si="18"/>
        <v>1275000</v>
      </c>
      <c r="G48" s="65">
        <f>'Данные Заявителя'!$B39*SUM('Данные Заявителя'!O39:Q39)*(1+'Данные Заявителя'!$B$6)</f>
        <v>530400</v>
      </c>
      <c r="H48" s="65">
        <f>'Данные Заявителя'!$B39*SUM('Данные Заявителя'!R39:T39)*(1+'Данные Заявителя'!$B$6)</f>
        <v>530400</v>
      </c>
      <c r="I48" s="65">
        <f>'Данные Заявителя'!$B39*SUM('Данные Заявителя'!U39:W39)*(1+'Данные Заявителя'!$B$6)</f>
        <v>530400</v>
      </c>
      <c r="J48" s="65">
        <f>'Данные Заявителя'!$B39*SUM('Данные Заявителя'!X39:Z39)*(1+'Данные Заявителя'!$B$6)</f>
        <v>530400</v>
      </c>
      <c r="K48" s="66">
        <f t="shared" si="19"/>
        <v>2121600</v>
      </c>
      <c r="L48" s="65">
        <f>'Данные Заявителя'!$B39*SUM('Данные Заявителя'!AA39:AC39)*(1+'Данные Заявителя'!$B$6)*(1+'Данные Заявителя'!$B$6)</f>
        <v>551616</v>
      </c>
      <c r="M48" s="65">
        <f>'Данные Заявителя'!$B39*SUM('Данные Заявителя'!AD39:AF39)*(1+'Данные Заявителя'!$B$6)*(1+'Данные Заявителя'!$B$6)</f>
        <v>551616</v>
      </c>
      <c r="N48" s="65">
        <f>'Данные Заявителя'!$B39*SUM('Данные Заявителя'!AG39:AI39)*(1+'Данные Заявителя'!$B$6)*(1+'Данные Заявителя'!$B$6)</f>
        <v>551616</v>
      </c>
      <c r="O48" s="65">
        <f>'Данные Заявителя'!$B39*SUM('Данные Заявителя'!AJ39:AL39)*(1+'Данные Заявителя'!$B$6)*(1+'Данные Заявителя'!$B$6)</f>
        <v>551616</v>
      </c>
      <c r="P48" s="66">
        <f t="shared" si="20"/>
        <v>2206464</v>
      </c>
      <c r="Q48" s="67">
        <f t="shared" si="21"/>
        <v>5603064</v>
      </c>
    </row>
    <row r="49" spans="1:17" x14ac:dyDescent="0.25">
      <c r="A49" s="35" t="str">
        <f>'Данные Заявителя'!A40</f>
        <v>товар/услуга 4</v>
      </c>
      <c r="B49" s="65">
        <f>'Данные Заявителя'!$B40*SUM('Данные Заявителя'!C40:E40)</f>
        <v>555000</v>
      </c>
      <c r="C49" s="65">
        <f>'Данные Заявителя'!$B40*SUM('Данные Заявителя'!F40:H40)</f>
        <v>555000</v>
      </c>
      <c r="D49" s="65">
        <f>'Данные Заявителя'!$B40*SUM('Данные Заявителя'!I40:K40)</f>
        <v>555000</v>
      </c>
      <c r="E49" s="65">
        <f>'Данные Заявителя'!$B40*SUM('Данные Заявителя'!L40:N40)</f>
        <v>555000</v>
      </c>
      <c r="F49" s="66">
        <f t="shared" si="18"/>
        <v>2220000</v>
      </c>
      <c r="G49" s="65">
        <f>'Данные Заявителя'!$B40*SUM('Данные Заявителя'!O40:Q40)*(1+'Данные Заявителя'!$B$6)</f>
        <v>577200</v>
      </c>
      <c r="H49" s="65">
        <f>'Данные Заявителя'!$B40*SUM('Данные Заявителя'!R40:T40)*(1+'Данные Заявителя'!$B$6)</f>
        <v>577200</v>
      </c>
      <c r="I49" s="65">
        <f>'Данные Заявителя'!$B40*SUM('Данные Заявителя'!U40:W40)*(1+'Данные Заявителя'!$B$6)</f>
        <v>577200</v>
      </c>
      <c r="J49" s="65">
        <f>'Данные Заявителя'!$B40*SUM('Данные Заявителя'!X40:Z40)*(1+'Данные Заявителя'!$B$6)</f>
        <v>577200</v>
      </c>
      <c r="K49" s="66">
        <f t="shared" si="19"/>
        <v>2308800</v>
      </c>
      <c r="L49" s="65">
        <f>'Данные Заявителя'!$B40*SUM('Данные Заявителя'!AA40:AC40)*(1+'Данные Заявителя'!$B$6)*(1+'Данные Заявителя'!$B$6)</f>
        <v>600288</v>
      </c>
      <c r="M49" s="65">
        <f>'Данные Заявителя'!$B40*SUM('Данные Заявителя'!AD40:AF40)*(1+'Данные Заявителя'!$B$6)*(1+'Данные Заявителя'!$B$6)</f>
        <v>600288</v>
      </c>
      <c r="N49" s="65">
        <f>'Данные Заявителя'!$B40*SUM('Данные Заявителя'!AG40:AI40)*(1+'Данные Заявителя'!$B$6)*(1+'Данные Заявителя'!$B$6)</f>
        <v>600288</v>
      </c>
      <c r="O49" s="65">
        <f>'Данные Заявителя'!$B40*SUM('Данные Заявителя'!AJ40:AL40)*(1+'Данные Заявителя'!$B$6)*(1+'Данные Заявителя'!$B$6)</f>
        <v>600288</v>
      </c>
      <c r="P49" s="66">
        <f t="shared" si="20"/>
        <v>2401152</v>
      </c>
      <c r="Q49" s="67">
        <f t="shared" si="21"/>
        <v>6929952</v>
      </c>
    </row>
    <row r="50" spans="1:17" x14ac:dyDescent="0.25">
      <c r="A50" s="35" t="str">
        <f>'Данные Заявителя'!A41</f>
        <v>товар/услуга 5</v>
      </c>
      <c r="B50" s="65">
        <f>'Данные Заявителя'!$B41*SUM('Данные Заявителя'!C41:E41)</f>
        <v>0</v>
      </c>
      <c r="C50" s="65">
        <f>'Данные Заявителя'!$B41*SUM('Данные Заявителя'!F41:H41)</f>
        <v>0</v>
      </c>
      <c r="D50" s="65">
        <f>'Данные Заявителя'!$B41*SUM('Данные Заявителя'!I41:K41)</f>
        <v>0</v>
      </c>
      <c r="E50" s="65">
        <f>'Данные Заявителя'!$B41*SUM('Данные Заявителя'!L41:N41)</f>
        <v>600000</v>
      </c>
      <c r="F50" s="66">
        <f t="shared" si="18"/>
        <v>600000</v>
      </c>
      <c r="G50" s="65">
        <f>'Данные Заявителя'!$B41*SUM('Данные Заявителя'!O41:Q41)*(1+'Данные Заявителя'!$B$6)</f>
        <v>624000</v>
      </c>
      <c r="H50" s="65">
        <f>'Данные Заявителя'!$B41*SUM('Данные Заявителя'!R41:T41)*(1+'Данные Заявителя'!$B$6)</f>
        <v>624000</v>
      </c>
      <c r="I50" s="65">
        <f>'Данные Заявителя'!$B41*SUM('Данные Заявителя'!U41:W41)*(1+'Данные Заявителя'!$B$6)</f>
        <v>624000</v>
      </c>
      <c r="J50" s="65">
        <f>'Данные Заявителя'!$B41*SUM('Данные Заявителя'!X41:Z41)*(1+'Данные Заявителя'!$B$6)</f>
        <v>624000</v>
      </c>
      <c r="K50" s="66">
        <f t="shared" si="19"/>
        <v>2496000</v>
      </c>
      <c r="L50" s="65">
        <f>'Данные Заявителя'!$B41*SUM('Данные Заявителя'!AA41:AC41)*(1+'Данные Заявителя'!$B$6)*(1+'Данные Заявителя'!$B$6)</f>
        <v>648960</v>
      </c>
      <c r="M50" s="65">
        <f>'Данные Заявителя'!$B41*SUM('Данные Заявителя'!AD41:AF41)*(1+'Данные Заявителя'!$B$6)*(1+'Данные Заявителя'!$B$6)</f>
        <v>648960</v>
      </c>
      <c r="N50" s="65">
        <f>'Данные Заявителя'!$B41*SUM('Данные Заявителя'!AG41:AI41)*(1+'Данные Заявителя'!$B$6)*(1+'Данные Заявителя'!$B$6)</f>
        <v>648960</v>
      </c>
      <c r="O50" s="65">
        <f>'Данные Заявителя'!$B41*SUM('Данные Заявителя'!AJ41:AL41)*(1+'Данные Заявителя'!$B$6)*(1+'Данные Заявителя'!$B$6)</f>
        <v>648960</v>
      </c>
      <c r="P50" s="66">
        <f t="shared" si="20"/>
        <v>2595840</v>
      </c>
      <c r="Q50" s="67">
        <f t="shared" si="21"/>
        <v>5691840</v>
      </c>
    </row>
    <row r="51" spans="1:17" s="64" customFormat="1" x14ac:dyDescent="0.25">
      <c r="A51" s="68" t="s">
        <v>139</v>
      </c>
      <c r="B51" s="69">
        <f>SUM(B46:B50)</f>
        <v>762000</v>
      </c>
      <c r="C51" s="69">
        <f t="shared" ref="C51:E51" si="22">SUM(C46:C50)</f>
        <v>1197000</v>
      </c>
      <c r="D51" s="69">
        <f t="shared" si="22"/>
        <v>1455000</v>
      </c>
      <c r="E51" s="69">
        <f t="shared" si="22"/>
        <v>2307000</v>
      </c>
      <c r="F51" s="66">
        <f t="shared" si="18"/>
        <v>5721000</v>
      </c>
      <c r="G51" s="69">
        <f>SUM(G46:G50)</f>
        <v>2399280</v>
      </c>
      <c r="H51" s="69">
        <f t="shared" ref="H51" si="23">SUM(H46:H50)</f>
        <v>2399280</v>
      </c>
      <c r="I51" s="69">
        <f t="shared" ref="I51" si="24">SUM(I46:I50)</f>
        <v>2399280</v>
      </c>
      <c r="J51" s="69">
        <f t="shared" ref="J51" si="25">SUM(J46:J50)</f>
        <v>2399280</v>
      </c>
      <c r="K51" s="66">
        <f t="shared" si="19"/>
        <v>9597120</v>
      </c>
      <c r="L51" s="69">
        <f>SUM(L46:L50)</f>
        <v>2495251.2000000002</v>
      </c>
      <c r="M51" s="69">
        <f t="shared" ref="M51" si="26">SUM(M46:M50)</f>
        <v>2495251.2000000002</v>
      </c>
      <c r="N51" s="69">
        <f t="shared" ref="N51" si="27">SUM(N46:N50)</f>
        <v>2495251.2000000002</v>
      </c>
      <c r="O51" s="69">
        <f t="shared" ref="O51" si="28">SUM(O46:O50)</f>
        <v>2495251.2000000002</v>
      </c>
      <c r="P51" s="66">
        <f t="shared" si="20"/>
        <v>9981004.8000000007</v>
      </c>
      <c r="Q51" s="67">
        <f t="shared" si="21"/>
        <v>25299124.800000001</v>
      </c>
    </row>
    <row r="54" spans="1:17" x14ac:dyDescent="0.25">
      <c r="A54" s="33" t="s">
        <v>236</v>
      </c>
    </row>
    <row r="55" spans="1:17" x14ac:dyDescent="0.25">
      <c r="A55" s="219" t="s">
        <v>161</v>
      </c>
      <c r="B55" s="223" t="s">
        <v>112</v>
      </c>
      <c r="C55" s="223"/>
      <c r="D55" s="223"/>
      <c r="E55" s="223"/>
      <c r="F55" s="235" t="s">
        <v>113</v>
      </c>
      <c r="G55" s="223" t="s">
        <v>114</v>
      </c>
      <c r="H55" s="223"/>
      <c r="I55" s="223"/>
      <c r="J55" s="223"/>
      <c r="K55" s="235" t="s">
        <v>116</v>
      </c>
      <c r="L55" s="223" t="s">
        <v>115</v>
      </c>
      <c r="M55" s="223"/>
      <c r="N55" s="223"/>
      <c r="O55" s="223"/>
      <c r="P55" s="235" t="s">
        <v>117</v>
      </c>
      <c r="Q55" s="235" t="s">
        <v>118</v>
      </c>
    </row>
    <row r="56" spans="1:17" x14ac:dyDescent="0.25">
      <c r="A56" s="220"/>
      <c r="B56" s="46" t="s">
        <v>108</v>
      </c>
      <c r="C56" s="46" t="s">
        <v>109</v>
      </c>
      <c r="D56" s="46" t="s">
        <v>110</v>
      </c>
      <c r="E56" s="46" t="s">
        <v>111</v>
      </c>
      <c r="F56" s="235"/>
      <c r="G56" s="46" t="s">
        <v>108</v>
      </c>
      <c r="H56" s="46" t="s">
        <v>109</v>
      </c>
      <c r="I56" s="46" t="s">
        <v>110</v>
      </c>
      <c r="J56" s="46" t="s">
        <v>111</v>
      </c>
      <c r="K56" s="235"/>
      <c r="L56" s="46" t="s">
        <v>108</v>
      </c>
      <c r="M56" s="46" t="s">
        <v>109</v>
      </c>
      <c r="N56" s="46" t="s">
        <v>110</v>
      </c>
      <c r="O56" s="46" t="s">
        <v>111</v>
      </c>
      <c r="P56" s="235"/>
      <c r="Q56" s="235"/>
    </row>
    <row r="57" spans="1:17" s="64" customFormat="1" x14ac:dyDescent="0.25">
      <c r="A57" s="70" t="s">
        <v>119</v>
      </c>
      <c r="B57" s="71">
        <f>('Данные Заявителя'!$B$37*SUM('Данные Заявителя'!C37:E37)+'Данные Заявителя'!$B$38*SUM('Данные Заявителя'!C38:E38)+'Данные Заявителя'!$B$39*SUM('Данные Заявителя'!C39:E39)+'Данные Заявителя'!$B$40*SUM('Данные Заявителя'!C40:E40)+'Данные Заявителя'!$B$41*SUM('Данные Заявителя'!C41:E41))/1000</f>
        <v>762</v>
      </c>
      <c r="C57" s="71">
        <f>('Данные Заявителя'!$B$37*SUM('Данные Заявителя'!F37:H37)+'Данные Заявителя'!$B$38*SUM('Данные Заявителя'!F38:H38)+'Данные Заявителя'!$B$39*SUM('Данные Заявителя'!F39:H39)+'Данные Заявителя'!$B$40*SUM('Данные Заявителя'!F40:H40)+'Данные Заявителя'!$B$41*SUM('Данные Заявителя'!F41:H41))/1000</f>
        <v>1197</v>
      </c>
      <c r="D57" s="71">
        <f>('Данные Заявителя'!$B$37*SUM('Данные Заявителя'!I37:K37)+'Данные Заявителя'!$B$38*SUM('Данные Заявителя'!I38:K38)+'Данные Заявителя'!$B$39*SUM('Данные Заявителя'!I39:K39)+'Данные Заявителя'!$B$40*SUM('Данные Заявителя'!I40:K40)+'Данные Заявителя'!$B$41*SUM('Данные Заявителя'!I41:K41))/1000</f>
        <v>1455</v>
      </c>
      <c r="E57" s="71">
        <f>('Данные Заявителя'!$B$37*SUM('Данные Заявителя'!L37:N37)+'Данные Заявителя'!$B$38*SUM('Данные Заявителя'!L38:N38)+'Данные Заявителя'!$B$39*SUM('Данные Заявителя'!L39:N39)+'Данные Заявителя'!$B$40*SUM('Данные Заявителя'!L40:N40)+'Данные Заявителя'!$B$41*SUM('Данные Заявителя'!L41:N41))/1000</f>
        <v>2307</v>
      </c>
      <c r="F57" s="71">
        <f>SUM(B57:E57)</f>
        <v>5721</v>
      </c>
      <c r="G57" s="71">
        <f>('Данные Заявителя'!$B$37*SUM('Данные Заявителя'!O37:Q37)+'Данные Заявителя'!$B$38*SUM('Данные Заявителя'!O38:Q38)+'Данные Заявителя'!$B$39*SUM('Данные Заявителя'!O39:Q39)+'Данные Заявителя'!$B$40*SUM('Данные Заявителя'!O40:Q40)+'Данные Заявителя'!$B$41*SUM('Данные Заявителя'!O41:Q41))*(1+'Данные Заявителя'!B6)/1000</f>
        <v>2399.2800000000002</v>
      </c>
      <c r="H57" s="71">
        <f>('Данные Заявителя'!$B$37*SUM('Данные Заявителя'!R37:T37)+'Данные Заявителя'!$B$38*SUM('Данные Заявителя'!R38:T38)+'Данные Заявителя'!$B$39*SUM('Данные Заявителя'!R39:T39)+'Данные Заявителя'!$B$40*SUM('Данные Заявителя'!R40:T40)+'Данные Заявителя'!$B$41*SUM('Данные Заявителя'!R41:T41))*(1+'Данные Заявителя'!B6)/1000</f>
        <v>2399.2800000000002</v>
      </c>
      <c r="I57" s="71">
        <f>('Данные Заявителя'!$B$37*SUM('Данные Заявителя'!U37:W37)+'Данные Заявителя'!$B$38*SUM('Данные Заявителя'!U38:W38)+'Данные Заявителя'!$B$39*SUM('Данные Заявителя'!U39:W39)+'Данные Заявителя'!$B$40*SUM('Данные Заявителя'!U40:W40)+'Данные Заявителя'!$B$41*SUM('Данные Заявителя'!U41:W41))*(1+'Данные Заявителя'!B6)/1000</f>
        <v>2399.2800000000002</v>
      </c>
      <c r="J57" s="71">
        <f>('Данные Заявителя'!$B$37*SUM('Данные Заявителя'!X37:Z37)+'Данные Заявителя'!$B$38*SUM('Данные Заявителя'!X38:Z38)+'Данные Заявителя'!$B$39*SUM('Данные Заявителя'!X39:Z39)+'Данные Заявителя'!$B$40*SUM('Данные Заявителя'!X40:Z40)+'Данные Заявителя'!$B$41*SUM('Данные Заявителя'!X41:Z41))*(1+'Данные Заявителя'!B6)/1000</f>
        <v>2399.2800000000002</v>
      </c>
      <c r="K57" s="71">
        <f>SUM(G57:J57)</f>
        <v>9597.1200000000008</v>
      </c>
      <c r="L57" s="71">
        <f>('Данные Заявителя'!$B$37*SUM('Данные Заявителя'!AA37:AC37)+'Данные Заявителя'!$B$38*SUM('Данные Заявителя'!AA38:AC38)+'Данные Заявителя'!$B$39*SUM('Данные Заявителя'!AA39:AC39)+'Данные Заявителя'!$B$40*SUM('Данные Заявителя'!AA40:AC40)+'Данные Заявителя'!$B$41*SUM('Данные Заявителя'!AA41:AC41))*(1+'Данные Заявителя'!B6)*(1+'Данные Заявителя'!B6)/1000</f>
        <v>2495.2512000000002</v>
      </c>
      <c r="M57" s="71">
        <f>('Данные Заявителя'!$B$37*SUM('Данные Заявителя'!AD37:AF37)+'Данные Заявителя'!$B$38*SUM('Данные Заявителя'!AD38:AF38)+'Данные Заявителя'!$B$39*SUM('Данные Заявителя'!AD39:AF39)+'Данные Заявителя'!$B$40*SUM('Данные Заявителя'!AD40:AF40)+'Данные Заявителя'!$B$41*SUM('Данные Заявителя'!AD41:AF41))*(1+'Данные Заявителя'!B6)*(1+'Данные Заявителя'!B6)/1000</f>
        <v>2495.2512000000002</v>
      </c>
      <c r="N57" s="71">
        <f>('Данные Заявителя'!$B$37*SUM('Данные Заявителя'!AG37:AI37)+'Данные Заявителя'!$B$38*SUM('Данные Заявителя'!AG38:AI38)+'Данные Заявителя'!$B$39*SUM('Данные Заявителя'!AG39:AI39)+'Данные Заявителя'!$B$40*SUM('Данные Заявителя'!AG40:AI40)+'Данные Заявителя'!$B$41*SUM('Данные Заявителя'!AG41:AI41))*(1+'Данные Заявителя'!B6)*(1+'Данные Заявителя'!B6)/1000</f>
        <v>2495.2512000000002</v>
      </c>
      <c r="O57" s="71">
        <f>('Данные Заявителя'!$B$37*SUM('Данные Заявителя'!AJ37:AL37)+'Данные Заявителя'!$B$38*SUM('Данные Заявителя'!AJ38:AL38)+'Данные Заявителя'!$B$39*SUM('Данные Заявителя'!AJ39:AL39)+'Данные Заявителя'!$B$40*SUM('Данные Заявителя'!AJ40:AL40)+'Данные Заявителя'!$B$41*SUM('Данные Заявителя'!AJ41:AL41))*(1+'Данные Заявителя'!B6)*(1+'Данные Заявителя'!B6)/1000</f>
        <v>2495.2512000000002</v>
      </c>
      <c r="P57" s="71">
        <f>SUM(L57:O57)</f>
        <v>9981.0048000000006</v>
      </c>
      <c r="Q57" s="72">
        <f>F57+K57+P57</f>
        <v>25299.124800000001</v>
      </c>
    </row>
    <row r="58" spans="1:17" ht="4.5" customHeight="1" x14ac:dyDescent="0.25">
      <c r="A58" s="73"/>
      <c r="B58" s="74"/>
      <c r="C58" s="74"/>
      <c r="D58" s="74"/>
      <c r="E58" s="74"/>
      <c r="F58" s="75"/>
      <c r="G58" s="74"/>
      <c r="H58" s="74"/>
      <c r="I58" s="74"/>
      <c r="J58" s="74"/>
      <c r="K58" s="75"/>
      <c r="L58" s="76"/>
      <c r="M58" s="77"/>
      <c r="N58" s="77"/>
      <c r="O58" s="77"/>
      <c r="P58" s="78"/>
      <c r="Q58" s="79"/>
    </row>
    <row r="59" spans="1:17" s="64" customFormat="1" x14ac:dyDescent="0.25">
      <c r="A59" s="70" t="s">
        <v>99</v>
      </c>
      <c r="B59" s="71">
        <f>SUM(B60:B64)</f>
        <v>782.88301223204166</v>
      </c>
      <c r="C59" s="71">
        <f>SUM(C60:C64)</f>
        <v>1163.383205565375</v>
      </c>
      <c r="D59" s="71">
        <f>SUM(D60:D64)</f>
        <v>1219.9326522320416</v>
      </c>
      <c r="E59" s="71">
        <f>SUM(E60:E64)</f>
        <v>1464.0445722320417</v>
      </c>
      <c r="F59" s="71">
        <f>SUM(B59:E59)</f>
        <v>4630.2434422614997</v>
      </c>
      <c r="G59" s="71">
        <f>SUM(G60:G64)</f>
        <v>1768.4341400147293</v>
      </c>
      <c r="H59" s="71">
        <f>SUM(H60:H64)</f>
        <v>1766.2604700147294</v>
      </c>
      <c r="I59" s="71">
        <f>SUM(I60:I64)</f>
        <v>1764.0320200147294</v>
      </c>
      <c r="J59" s="71">
        <f>SUM(J60:J64)</f>
        <v>1761.7473900147293</v>
      </c>
      <c r="K59" s="71">
        <f>SUM(G59:J59)</f>
        <v>7060.4740200589167</v>
      </c>
      <c r="L59" s="71">
        <f>SUM(L60:L64)</f>
        <v>2441.940547580105</v>
      </c>
      <c r="M59" s="71">
        <f>SUM(M60:M64)</f>
        <v>2475.0937602467711</v>
      </c>
      <c r="N59" s="71">
        <f>SUM(N60:N64)</f>
        <v>2531.2409155801047</v>
      </c>
      <c r="O59" s="71">
        <f>SUM(O60:O64)</f>
        <v>2503.7170555801044</v>
      </c>
      <c r="P59" s="71">
        <f>SUM(L59:O59)</f>
        <v>9951.9922789870852</v>
      </c>
      <c r="Q59" s="72">
        <f>F59+K59+P59</f>
        <v>21642.709741307503</v>
      </c>
    </row>
    <row r="60" spans="1:17" x14ac:dyDescent="0.25">
      <c r="A60" s="80" t="s">
        <v>100</v>
      </c>
      <c r="B60" s="48">
        <f t="shared" ref="B60:E62" si="29">B27/1000</f>
        <v>350</v>
      </c>
      <c r="C60" s="48">
        <f t="shared" si="29"/>
        <v>615</v>
      </c>
      <c r="D60" s="48">
        <f t="shared" si="29"/>
        <v>615</v>
      </c>
      <c r="E60" s="48">
        <f t="shared" si="29"/>
        <v>705</v>
      </c>
      <c r="F60" s="71">
        <f t="shared" ref="F60:F64" si="30">SUM(B60:E60)</f>
        <v>2285</v>
      </c>
      <c r="G60" s="48">
        <f t="shared" ref="G60:J62" si="31">G27/1000</f>
        <v>906.3</v>
      </c>
      <c r="H60" s="48">
        <f t="shared" si="31"/>
        <v>906.3</v>
      </c>
      <c r="I60" s="48">
        <f t="shared" si="31"/>
        <v>906.3</v>
      </c>
      <c r="J60" s="48">
        <f t="shared" si="31"/>
        <v>906.3</v>
      </c>
      <c r="K60" s="71">
        <f t="shared" ref="K60:K64" si="32">SUM(G60:J60)</f>
        <v>3625.2</v>
      </c>
      <c r="L60" s="48">
        <f t="shared" ref="L60:O62" si="33">L27/1000</f>
        <v>1415.7360000000003</v>
      </c>
      <c r="M60" s="48">
        <f t="shared" si="33"/>
        <v>1449.4440000000002</v>
      </c>
      <c r="N60" s="48">
        <f t="shared" si="33"/>
        <v>1516.8600000000001</v>
      </c>
      <c r="O60" s="48">
        <f t="shared" si="33"/>
        <v>1516.8600000000001</v>
      </c>
      <c r="P60" s="71">
        <f t="shared" ref="P60:P68" si="34">SUM(L60:O60)</f>
        <v>5898.9000000000015</v>
      </c>
      <c r="Q60" s="72">
        <f t="shared" ref="Q60:Q68" si="35">F60+K60+P60</f>
        <v>11809.100000000002</v>
      </c>
    </row>
    <row r="61" spans="1:17" x14ac:dyDescent="0.25">
      <c r="A61" s="80" t="s">
        <v>101</v>
      </c>
      <c r="B61" s="48">
        <f t="shared" si="29"/>
        <v>105.70000000000002</v>
      </c>
      <c r="C61" s="48">
        <f t="shared" si="29"/>
        <v>185.73000000000002</v>
      </c>
      <c r="D61" s="48">
        <f t="shared" si="29"/>
        <v>185.73000000000002</v>
      </c>
      <c r="E61" s="48">
        <f t="shared" si="29"/>
        <v>212.91000000000003</v>
      </c>
      <c r="F61" s="71">
        <f t="shared" si="30"/>
        <v>690.07000000000016</v>
      </c>
      <c r="G61" s="48">
        <f t="shared" si="31"/>
        <v>273.70260000000002</v>
      </c>
      <c r="H61" s="48">
        <f t="shared" si="31"/>
        <v>273.70260000000002</v>
      </c>
      <c r="I61" s="48">
        <f t="shared" si="31"/>
        <v>273.70260000000002</v>
      </c>
      <c r="J61" s="48">
        <f t="shared" si="31"/>
        <v>273.70260000000002</v>
      </c>
      <c r="K61" s="71">
        <f t="shared" si="32"/>
        <v>1094.8104000000001</v>
      </c>
      <c r="L61" s="48">
        <f t="shared" si="33"/>
        <v>427.55227200000013</v>
      </c>
      <c r="M61" s="48">
        <f t="shared" si="33"/>
        <v>437.73208800000015</v>
      </c>
      <c r="N61" s="48">
        <f t="shared" si="33"/>
        <v>458.09172000000012</v>
      </c>
      <c r="O61" s="48">
        <f t="shared" si="33"/>
        <v>458.09172000000012</v>
      </c>
      <c r="P61" s="71">
        <f t="shared" si="34"/>
        <v>1781.4678000000006</v>
      </c>
      <c r="Q61" s="72">
        <f t="shared" si="35"/>
        <v>3566.3482000000008</v>
      </c>
    </row>
    <row r="62" spans="1:17" x14ac:dyDescent="0.25">
      <c r="A62" s="80" t="s">
        <v>102</v>
      </c>
      <c r="B62" s="48">
        <f t="shared" si="29"/>
        <v>166.66666666666666</v>
      </c>
      <c r="C62" s="48">
        <f t="shared" si="29"/>
        <v>175</v>
      </c>
      <c r="D62" s="48">
        <f t="shared" si="29"/>
        <v>204.16666666666669</v>
      </c>
      <c r="E62" s="48">
        <f t="shared" si="29"/>
        <v>229.16666666666669</v>
      </c>
      <c r="F62" s="71">
        <f t="shared" si="30"/>
        <v>775</v>
      </c>
      <c r="G62" s="48">
        <f t="shared" si="31"/>
        <v>229.16666666666669</v>
      </c>
      <c r="H62" s="48">
        <f t="shared" si="31"/>
        <v>229.16666666666669</v>
      </c>
      <c r="I62" s="48">
        <f t="shared" si="31"/>
        <v>229.16666666666669</v>
      </c>
      <c r="J62" s="48">
        <f t="shared" si="31"/>
        <v>229.16666666666669</v>
      </c>
      <c r="K62" s="71">
        <f t="shared" si="32"/>
        <v>916.66666666666674</v>
      </c>
      <c r="L62" s="48">
        <f t="shared" si="33"/>
        <v>229.16666666666669</v>
      </c>
      <c r="M62" s="48">
        <f t="shared" si="33"/>
        <v>220.83333333333334</v>
      </c>
      <c r="N62" s="48">
        <f t="shared" si="33"/>
        <v>191.66666666666666</v>
      </c>
      <c r="O62" s="48">
        <f t="shared" si="33"/>
        <v>166.66666666666666</v>
      </c>
      <c r="P62" s="71">
        <f t="shared" si="34"/>
        <v>808.33333333333326</v>
      </c>
      <c r="Q62" s="72">
        <f t="shared" si="35"/>
        <v>2500</v>
      </c>
    </row>
    <row r="63" spans="1:17" x14ac:dyDescent="0.25">
      <c r="A63" s="80" t="s">
        <v>103</v>
      </c>
      <c r="B63" s="48">
        <f>B26/1000</f>
        <v>103.4</v>
      </c>
      <c r="C63" s="48">
        <f>C26/1000</f>
        <v>126.2</v>
      </c>
      <c r="D63" s="48">
        <f>D26/1000</f>
        <v>145.6</v>
      </c>
      <c r="E63" s="48">
        <f>E26/1000</f>
        <v>249.6</v>
      </c>
      <c r="F63" s="71">
        <f t="shared" si="30"/>
        <v>624.80000000000007</v>
      </c>
      <c r="G63" s="48">
        <f>G26/1000</f>
        <v>259.584</v>
      </c>
      <c r="H63" s="48">
        <f>H26/1000</f>
        <v>259.584</v>
      </c>
      <c r="I63" s="48">
        <f>I26/1000</f>
        <v>259.584</v>
      </c>
      <c r="J63" s="48">
        <f>J26/1000</f>
        <v>259.584</v>
      </c>
      <c r="K63" s="71">
        <f t="shared" si="32"/>
        <v>1038.336</v>
      </c>
      <c r="L63" s="48">
        <f>L26/1000</f>
        <v>269.96736000000004</v>
      </c>
      <c r="M63" s="48">
        <f>M26/1000</f>
        <v>269.96736000000004</v>
      </c>
      <c r="N63" s="48">
        <f>N26/1000</f>
        <v>269.96736000000004</v>
      </c>
      <c r="O63" s="48">
        <f>O26/1000</f>
        <v>269.96736000000004</v>
      </c>
      <c r="P63" s="71">
        <f t="shared" si="34"/>
        <v>1079.8694400000002</v>
      </c>
      <c r="Q63" s="72">
        <f t="shared" si="35"/>
        <v>2743.0054399999999</v>
      </c>
    </row>
    <row r="64" spans="1:17" x14ac:dyDescent="0.25">
      <c r="A64" s="80" t="s">
        <v>104</v>
      </c>
      <c r="B64" s="48">
        <f>SUM(B33:B40,B30)/1000</f>
        <v>57.116345565374999</v>
      </c>
      <c r="C64" s="48">
        <f>SUM(C33:C40,C30)/1000</f>
        <v>61.453205565375001</v>
      </c>
      <c r="D64" s="48">
        <f>SUM(D33:D40,D30)/1000</f>
        <v>69.435985565375006</v>
      </c>
      <c r="E64" s="48">
        <f>SUM(E33:E40,E30)/1000</f>
        <v>67.367905565374997</v>
      </c>
      <c r="F64" s="71">
        <f t="shared" si="30"/>
        <v>255.3734422615</v>
      </c>
      <c r="G64" s="48">
        <f>SUM(G33:G40,G30)/1000</f>
        <v>99.680873348062491</v>
      </c>
      <c r="H64" s="48">
        <f>SUM(H33:H40,H30)/1000</f>
        <v>97.50720334806249</v>
      </c>
      <c r="I64" s="48">
        <f>SUM(I33:I40,I30)/1000</f>
        <v>95.278753348062494</v>
      </c>
      <c r="J64" s="48">
        <f>SUM(J33:J40,J30)/1000</f>
        <v>92.994123348062487</v>
      </c>
      <c r="K64" s="71">
        <f t="shared" si="32"/>
        <v>385.46095339224996</v>
      </c>
      <c r="L64" s="48">
        <f>SUM(L33:L40,L30)/1000</f>
        <v>99.518248913437503</v>
      </c>
      <c r="M64" s="48">
        <f>SUM(M33:M40,M30)/1000</f>
        <v>97.116978913437507</v>
      </c>
      <c r="N64" s="48">
        <f>SUM(N33:N40,N30)/1000</f>
        <v>94.655168913437507</v>
      </c>
      <c r="O64" s="48">
        <f>SUM(O33:O40,O30)/1000</f>
        <v>92.131308913437508</v>
      </c>
      <c r="P64" s="71">
        <f t="shared" si="34"/>
        <v>383.42170565375005</v>
      </c>
      <c r="Q64" s="72">
        <f t="shared" si="35"/>
        <v>1024.2561013075001</v>
      </c>
    </row>
    <row r="65" spans="1:17" ht="4.5" customHeight="1" x14ac:dyDescent="0.25">
      <c r="A65" s="73"/>
      <c r="B65" s="74"/>
      <c r="C65" s="74"/>
      <c r="D65" s="74"/>
      <c r="E65" s="74"/>
      <c r="F65" s="75"/>
      <c r="G65" s="74"/>
      <c r="H65" s="74"/>
      <c r="I65" s="74"/>
      <c r="J65" s="74"/>
      <c r="K65" s="75"/>
      <c r="L65" s="74"/>
      <c r="M65" s="74"/>
      <c r="N65" s="74"/>
      <c r="O65" s="74"/>
      <c r="P65" s="75"/>
      <c r="Q65" s="75"/>
    </row>
    <row r="66" spans="1:17" s="64" customFormat="1" x14ac:dyDescent="0.25">
      <c r="A66" s="70" t="s">
        <v>105</v>
      </c>
      <c r="B66" s="71">
        <f>B57-B59</f>
        <v>-20.883012232041665</v>
      </c>
      <c r="C66" s="71">
        <f t="shared" ref="C66:E66" si="36">C57-C59</f>
        <v>33.616794434625035</v>
      </c>
      <c r="D66" s="71">
        <f t="shared" si="36"/>
        <v>235.06734776795838</v>
      </c>
      <c r="E66" s="71">
        <f t="shared" si="36"/>
        <v>842.95542776795833</v>
      </c>
      <c r="F66" s="71">
        <f t="shared" ref="F66:F68" si="37">SUM(B66:E66)</f>
        <v>1090.7565577385001</v>
      </c>
      <c r="G66" s="71">
        <f>G57-G59</f>
        <v>630.84585998527086</v>
      </c>
      <c r="H66" s="71">
        <f t="shared" ref="H66:J66" si="38">H57-H59</f>
        <v>633.01952998527076</v>
      </c>
      <c r="I66" s="71">
        <f t="shared" si="38"/>
        <v>635.24797998527083</v>
      </c>
      <c r="J66" s="71">
        <f t="shared" si="38"/>
        <v>637.53260998527094</v>
      </c>
      <c r="K66" s="71">
        <f t="shared" ref="K66:K68" si="39">SUM(G66:J66)</f>
        <v>2536.6459799410832</v>
      </c>
      <c r="L66" s="71">
        <f>L57-L59</f>
        <v>53.310652419895177</v>
      </c>
      <c r="M66" s="71">
        <f t="shared" ref="M66:O66" si="40">M57-M59</f>
        <v>20.157439753229028</v>
      </c>
      <c r="N66" s="71">
        <f t="shared" si="40"/>
        <v>-35.98971558010453</v>
      </c>
      <c r="O66" s="71">
        <f t="shared" si="40"/>
        <v>-8.4658555801042894</v>
      </c>
      <c r="P66" s="71">
        <f t="shared" si="34"/>
        <v>29.012521012915386</v>
      </c>
      <c r="Q66" s="72">
        <f t="shared" si="35"/>
        <v>3656.4150586924989</v>
      </c>
    </row>
    <row r="67" spans="1:17" x14ac:dyDescent="0.25">
      <c r="A67" s="80" t="s">
        <v>106</v>
      </c>
      <c r="B67" s="48">
        <f>IF(B66&lt;0,0,IF('Данные Заявителя'!$B$8='Данные Заявителя'!$A$95,B66*0.2,IF('Данные Заявителя'!$B$8='Данные Заявителя'!$A$96,B57*0.06,B66*0.15)))</f>
        <v>0</v>
      </c>
      <c r="C67" s="48">
        <f>IF(C66&lt;0,0,IF('Данные Заявителя'!$B$8='Данные Заявителя'!$A$95,C66*0.2,IF('Данные Заявителя'!$B$8='Данные Заявителя'!$A$96,C57*0.06,C66*0.15)))</f>
        <v>71.819999999999993</v>
      </c>
      <c r="D67" s="48">
        <f>IF(D66&lt;0,0,IF('Данные Заявителя'!$B$8='Данные Заявителя'!$A$95,D66*0.2,IF('Данные Заявителя'!$B$8='Данные Заявителя'!$A$96,D57*0.06,D66*0.15)))</f>
        <v>87.3</v>
      </c>
      <c r="E67" s="48">
        <f>IF(E66&lt;0,0,IF('Данные Заявителя'!$B$8='Данные Заявителя'!$A$95,E66*0.2,IF('Данные Заявителя'!$B$8='Данные Заявителя'!$A$96,E57*0.06,E66*0.15)))</f>
        <v>138.41999999999999</v>
      </c>
      <c r="F67" s="71">
        <f t="shared" si="37"/>
        <v>297.53999999999996</v>
      </c>
      <c r="G67" s="48">
        <f>IF(G66&lt;0,0,IF('Данные Заявителя'!$B$8='Данные Заявителя'!$A$95,G66*0.2,IF('Данные Заявителя'!$B$8='Данные Заявителя'!$A$96,G57*0.06,G66*0.15)))</f>
        <v>143.95680000000002</v>
      </c>
      <c r="H67" s="48">
        <f>IF(H66&lt;0,0,IF('Данные Заявителя'!$B$8='Данные Заявителя'!$A$95,H66*0.2,IF('Данные Заявителя'!$B$8='Данные Заявителя'!$A$96,H57*0.06,H66*0.15)))</f>
        <v>143.95680000000002</v>
      </c>
      <c r="I67" s="48">
        <f>IF(I66&lt;0,0,IF('Данные Заявителя'!$B$8='Данные Заявителя'!$A$95,I66*0.2,IF('Данные Заявителя'!$B$8='Данные Заявителя'!$A$96,I57*0.06,I66*0.15)))</f>
        <v>143.95680000000002</v>
      </c>
      <c r="J67" s="48">
        <f>IF(J66&lt;0,0,IF('Данные Заявителя'!$B$8='Данные Заявителя'!$A$95,J66*0.2,IF('Данные Заявителя'!$B$8='Данные Заявителя'!$A$96,J57*0.06,J66*0.15)))</f>
        <v>143.95680000000002</v>
      </c>
      <c r="K67" s="71">
        <f t="shared" si="39"/>
        <v>575.82720000000006</v>
      </c>
      <c r="L67" s="48">
        <f>IF(L66&lt;0,0,IF('Данные Заявителя'!$B$8='Данные Заявителя'!$A$95,L66*0.2,IF('Данные Заявителя'!$B$8='Данные Заявителя'!$A$96,L57*0.06,L66*0.15)))</f>
        <v>149.71507199999999</v>
      </c>
      <c r="M67" s="48">
        <f>IF(M66&lt;0,0,IF('Данные Заявителя'!$B$8='Данные Заявителя'!$A$95,M66*0.2,IF('Данные Заявителя'!$B$8='Данные Заявителя'!$A$96,M57*0.06,M66*0.15)))</f>
        <v>149.71507199999999</v>
      </c>
      <c r="N67" s="48">
        <f>IF(N66&lt;0,0,IF('Данные Заявителя'!$B$8='Данные Заявителя'!$A$95,N66*0.2,IF('Данные Заявителя'!$B$8='Данные Заявителя'!$A$96,N57*0.06,N66*0.15)))</f>
        <v>0</v>
      </c>
      <c r="O67" s="48">
        <f>IF(O66&lt;0,0,IF('Данные Заявителя'!$B$8='Данные Заявителя'!$A$95,O66*0.2,IF('Данные Заявителя'!$B$8='Данные Заявителя'!$A$96,O57*0.06,O66*0.15)))</f>
        <v>0</v>
      </c>
      <c r="P67" s="71">
        <f t="shared" si="34"/>
        <v>299.43014399999998</v>
      </c>
      <c r="Q67" s="72">
        <f t="shared" si="35"/>
        <v>1172.7973440000001</v>
      </c>
    </row>
    <row r="68" spans="1:17" s="64" customFormat="1" x14ac:dyDescent="0.25">
      <c r="A68" s="70" t="s">
        <v>107</v>
      </c>
      <c r="B68" s="71">
        <f>B66-B67</f>
        <v>-20.883012232041665</v>
      </c>
      <c r="C68" s="71">
        <f t="shared" ref="C68:E68" si="41">C66-C67</f>
        <v>-38.203205565374958</v>
      </c>
      <c r="D68" s="71">
        <f t="shared" si="41"/>
        <v>147.76734776795837</v>
      </c>
      <c r="E68" s="71">
        <f t="shared" si="41"/>
        <v>704.53542776795837</v>
      </c>
      <c r="F68" s="71">
        <f t="shared" si="37"/>
        <v>793.21655773850011</v>
      </c>
      <c r="G68" s="71">
        <f>G66-G67</f>
        <v>486.88905998527082</v>
      </c>
      <c r="H68" s="71">
        <f t="shared" ref="H68" si="42">H66-H67</f>
        <v>489.06272998527072</v>
      </c>
      <c r="I68" s="71">
        <f t="shared" ref="I68" si="43">I66-I67</f>
        <v>491.29117998527079</v>
      </c>
      <c r="J68" s="71">
        <f t="shared" ref="J68" si="44">J66-J67</f>
        <v>493.57580998527089</v>
      </c>
      <c r="K68" s="71">
        <f t="shared" si="39"/>
        <v>1960.8187799410834</v>
      </c>
      <c r="L68" s="71">
        <f>L66-L67</f>
        <v>-96.404419580104815</v>
      </c>
      <c r="M68" s="71">
        <f t="shared" ref="M68" si="45">M66-M67</f>
        <v>-129.55763224677096</v>
      </c>
      <c r="N68" s="71">
        <f t="shared" ref="N68" si="46">N66-N67</f>
        <v>-35.98971558010453</v>
      </c>
      <c r="O68" s="71">
        <f t="shared" ref="O68" si="47">O66-O67</f>
        <v>-8.4658555801042894</v>
      </c>
      <c r="P68" s="71">
        <f t="shared" si="34"/>
        <v>-270.4176229870846</v>
      </c>
      <c r="Q68" s="72">
        <f t="shared" si="35"/>
        <v>2483.6177146924992</v>
      </c>
    </row>
    <row r="71" spans="1:17" x14ac:dyDescent="0.25">
      <c r="A71" s="33" t="s">
        <v>237</v>
      </c>
    </row>
    <row r="72" spans="1:17" ht="15" customHeight="1" x14ac:dyDescent="0.25">
      <c r="A72" s="223" t="s">
        <v>161</v>
      </c>
      <c r="B72" s="223" t="s">
        <v>112</v>
      </c>
      <c r="C72" s="223"/>
      <c r="D72" s="223"/>
      <c r="E72" s="223"/>
      <c r="F72" s="223" t="s">
        <v>114</v>
      </c>
      <c r="G72" s="223"/>
      <c r="H72" s="223"/>
      <c r="I72" s="223"/>
      <c r="J72" s="223" t="s">
        <v>115</v>
      </c>
      <c r="K72" s="223"/>
      <c r="L72" s="223"/>
      <c r="M72" s="223"/>
      <c r="N72" s="221" t="s">
        <v>118</v>
      </c>
    </row>
    <row r="73" spans="1:17" x14ac:dyDescent="0.25">
      <c r="A73" s="223"/>
      <c r="B73" s="46" t="s">
        <v>108</v>
      </c>
      <c r="C73" s="46" t="s">
        <v>109</v>
      </c>
      <c r="D73" s="46" t="s">
        <v>110</v>
      </c>
      <c r="E73" s="46" t="s">
        <v>111</v>
      </c>
      <c r="F73" s="46" t="s">
        <v>108</v>
      </c>
      <c r="G73" s="46" t="s">
        <v>109</v>
      </c>
      <c r="H73" s="46" t="s">
        <v>110</v>
      </c>
      <c r="I73" s="46" t="s">
        <v>111</v>
      </c>
      <c r="J73" s="46" t="s">
        <v>108</v>
      </c>
      <c r="K73" s="46" t="s">
        <v>109</v>
      </c>
      <c r="L73" s="46" t="s">
        <v>110</v>
      </c>
      <c r="M73" s="46" t="s">
        <v>111</v>
      </c>
      <c r="N73" s="222"/>
    </row>
    <row r="74" spans="1:17" x14ac:dyDescent="0.25">
      <c r="A74" s="81" t="s">
        <v>123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3"/>
      <c r="M74" s="83"/>
      <c r="N74" s="84"/>
    </row>
    <row r="75" spans="1:17" x14ac:dyDescent="0.25">
      <c r="A75" s="85" t="s">
        <v>124</v>
      </c>
      <c r="B75" s="86">
        <f>B76</f>
        <v>762</v>
      </c>
      <c r="C75" s="86">
        <f t="shared" ref="C75:M75" si="48">C76</f>
        <v>1197</v>
      </c>
      <c r="D75" s="86">
        <f t="shared" si="48"/>
        <v>1455</v>
      </c>
      <c r="E75" s="86">
        <f t="shared" si="48"/>
        <v>2307</v>
      </c>
      <c r="F75" s="86">
        <f t="shared" si="48"/>
        <v>2399.2800000000002</v>
      </c>
      <c r="G75" s="86">
        <f t="shared" si="48"/>
        <v>2399.2800000000002</v>
      </c>
      <c r="H75" s="86">
        <f t="shared" si="48"/>
        <v>2399.2800000000002</v>
      </c>
      <c r="I75" s="86">
        <f t="shared" si="48"/>
        <v>2399.2800000000002</v>
      </c>
      <c r="J75" s="86">
        <f t="shared" si="48"/>
        <v>2495.2512000000002</v>
      </c>
      <c r="K75" s="86">
        <f t="shared" si="48"/>
        <v>2495.2512000000002</v>
      </c>
      <c r="L75" s="86">
        <f t="shared" si="48"/>
        <v>2495.2512000000002</v>
      </c>
      <c r="M75" s="86">
        <f t="shared" si="48"/>
        <v>2495.2512000000002</v>
      </c>
      <c r="N75" s="86">
        <f>SUM(B75:M75)</f>
        <v>25299.124799999998</v>
      </c>
    </row>
    <row r="76" spans="1:17" x14ac:dyDescent="0.25">
      <c r="A76" s="87" t="s">
        <v>162</v>
      </c>
      <c r="B76" s="88">
        <f>B57</f>
        <v>762</v>
      </c>
      <c r="C76" s="88">
        <f t="shared" ref="C76:E76" si="49">C57</f>
        <v>1197</v>
      </c>
      <c r="D76" s="88">
        <f t="shared" si="49"/>
        <v>1455</v>
      </c>
      <c r="E76" s="88">
        <f t="shared" si="49"/>
        <v>2307</v>
      </c>
      <c r="F76" s="88">
        <f>G57</f>
        <v>2399.2800000000002</v>
      </c>
      <c r="G76" s="88">
        <f t="shared" ref="G76:I76" si="50">H57</f>
        <v>2399.2800000000002</v>
      </c>
      <c r="H76" s="88">
        <f t="shared" si="50"/>
        <v>2399.2800000000002</v>
      </c>
      <c r="I76" s="88">
        <f t="shared" si="50"/>
        <v>2399.2800000000002</v>
      </c>
      <c r="J76" s="88">
        <f>L57</f>
        <v>2495.2512000000002</v>
      </c>
      <c r="K76" s="88">
        <f t="shared" ref="K76:M76" si="51">M57</f>
        <v>2495.2512000000002</v>
      </c>
      <c r="L76" s="88">
        <f t="shared" si="51"/>
        <v>2495.2512000000002</v>
      </c>
      <c r="M76" s="88">
        <f t="shared" si="51"/>
        <v>2495.2512000000002</v>
      </c>
      <c r="N76" s="88">
        <f t="shared" ref="N76:N94" si="52">SUM(B76:M76)</f>
        <v>25299.124799999998</v>
      </c>
    </row>
    <row r="77" spans="1:17" x14ac:dyDescent="0.25">
      <c r="A77" s="85" t="s">
        <v>125</v>
      </c>
      <c r="B77" s="86">
        <f>B78+B79</f>
        <v>616.21634556537504</v>
      </c>
      <c r="C77" s="86">
        <f t="shared" ref="C77:M77" si="53">C78+C79</f>
        <v>1060.2032055653749</v>
      </c>
      <c r="D77" s="86">
        <f t="shared" si="53"/>
        <v>1103.0659855653748</v>
      </c>
      <c r="E77" s="86">
        <f t="shared" si="53"/>
        <v>1373.297905565375</v>
      </c>
      <c r="F77" s="86">
        <f t="shared" si="53"/>
        <v>1683.2242733480625</v>
      </c>
      <c r="G77" s="86">
        <f t="shared" si="53"/>
        <v>1681.0506033480626</v>
      </c>
      <c r="H77" s="86">
        <f t="shared" si="53"/>
        <v>1678.8221533480626</v>
      </c>
      <c r="I77" s="86">
        <f t="shared" si="53"/>
        <v>1676.5375233480625</v>
      </c>
      <c r="J77" s="86">
        <f t="shared" si="53"/>
        <v>2362.4889529134384</v>
      </c>
      <c r="K77" s="86">
        <f t="shared" si="53"/>
        <v>2403.9754989134376</v>
      </c>
      <c r="L77" s="86">
        <f t="shared" si="53"/>
        <v>2339.5742489134382</v>
      </c>
      <c r="M77" s="86">
        <f t="shared" si="53"/>
        <v>2337.0503889134379</v>
      </c>
      <c r="N77" s="86">
        <f t="shared" si="52"/>
        <v>20315.507085307501</v>
      </c>
    </row>
    <row r="78" spans="1:17" x14ac:dyDescent="0.25">
      <c r="A78" s="87" t="s">
        <v>163</v>
      </c>
      <c r="B78" s="88">
        <f>B59-B62</f>
        <v>616.21634556537504</v>
      </c>
      <c r="C78" s="88">
        <f t="shared" ref="C78:E78" si="54">C59-C62</f>
        <v>988.38320556537496</v>
      </c>
      <c r="D78" s="88">
        <f t="shared" si="54"/>
        <v>1015.7659855653749</v>
      </c>
      <c r="E78" s="88">
        <f t="shared" si="54"/>
        <v>1234.8779055653749</v>
      </c>
      <c r="F78" s="88">
        <f>G59-G62</f>
        <v>1539.2674733480626</v>
      </c>
      <c r="G78" s="88">
        <f t="shared" ref="G78:I78" si="55">H59-H62</f>
        <v>1537.0938033480627</v>
      </c>
      <c r="H78" s="88">
        <f t="shared" si="55"/>
        <v>1534.8653533480626</v>
      </c>
      <c r="I78" s="88">
        <f t="shared" si="55"/>
        <v>1532.5807233480625</v>
      </c>
      <c r="J78" s="88">
        <f>L59-L62</f>
        <v>2212.7738809134385</v>
      </c>
      <c r="K78" s="88">
        <f t="shared" ref="K78:M78" si="56">M59-M62</f>
        <v>2254.2604269134376</v>
      </c>
      <c r="L78" s="88">
        <f t="shared" si="56"/>
        <v>2339.5742489134382</v>
      </c>
      <c r="M78" s="88">
        <f t="shared" si="56"/>
        <v>2337.0503889134379</v>
      </c>
      <c r="N78" s="88">
        <f t="shared" si="52"/>
        <v>19142.709741307503</v>
      </c>
    </row>
    <row r="79" spans="1:17" x14ac:dyDescent="0.25">
      <c r="A79" s="89" t="s">
        <v>126</v>
      </c>
      <c r="B79" s="88">
        <f>B67</f>
        <v>0</v>
      </c>
      <c r="C79" s="88">
        <f t="shared" ref="C79:E79" si="57">C67</f>
        <v>71.819999999999993</v>
      </c>
      <c r="D79" s="88">
        <f t="shared" si="57"/>
        <v>87.3</v>
      </c>
      <c r="E79" s="88">
        <f t="shared" si="57"/>
        <v>138.41999999999999</v>
      </c>
      <c r="F79" s="88">
        <f>G67</f>
        <v>143.95680000000002</v>
      </c>
      <c r="G79" s="88">
        <f t="shared" ref="G79:I79" si="58">H67</f>
        <v>143.95680000000002</v>
      </c>
      <c r="H79" s="88">
        <f t="shared" si="58"/>
        <v>143.95680000000002</v>
      </c>
      <c r="I79" s="88">
        <f t="shared" si="58"/>
        <v>143.95680000000002</v>
      </c>
      <c r="J79" s="88">
        <f>L67</f>
        <v>149.71507199999999</v>
      </c>
      <c r="K79" s="88">
        <f t="shared" ref="K79:M79" si="59">M67</f>
        <v>149.71507199999999</v>
      </c>
      <c r="L79" s="88">
        <f t="shared" si="59"/>
        <v>0</v>
      </c>
      <c r="M79" s="88">
        <f t="shared" si="59"/>
        <v>0</v>
      </c>
      <c r="N79" s="88">
        <f t="shared" si="52"/>
        <v>1172.7973440000001</v>
      </c>
    </row>
    <row r="80" spans="1:17" x14ac:dyDescent="0.25">
      <c r="A80" s="85" t="s">
        <v>127</v>
      </c>
      <c r="B80" s="86">
        <f>B75-B77</f>
        <v>145.78365443462496</v>
      </c>
      <c r="C80" s="86">
        <f t="shared" ref="C80:M80" si="60">C75-C77</f>
        <v>136.7967944346251</v>
      </c>
      <c r="D80" s="86">
        <f t="shared" si="60"/>
        <v>351.93401443462517</v>
      </c>
      <c r="E80" s="86">
        <f t="shared" si="60"/>
        <v>933.702094434625</v>
      </c>
      <c r="F80" s="86">
        <f t="shared" si="60"/>
        <v>716.05572665193768</v>
      </c>
      <c r="G80" s="86">
        <f t="shared" si="60"/>
        <v>718.22939665193758</v>
      </c>
      <c r="H80" s="86">
        <f t="shared" si="60"/>
        <v>720.45784665193764</v>
      </c>
      <c r="I80" s="86">
        <f t="shared" si="60"/>
        <v>722.74247665193775</v>
      </c>
      <c r="J80" s="86">
        <f t="shared" si="60"/>
        <v>132.76224708656173</v>
      </c>
      <c r="K80" s="86">
        <f t="shared" si="60"/>
        <v>91.275701086562549</v>
      </c>
      <c r="L80" s="86">
        <f t="shared" si="60"/>
        <v>155.67695108656198</v>
      </c>
      <c r="M80" s="86">
        <f t="shared" si="60"/>
        <v>158.20081108656223</v>
      </c>
      <c r="N80" s="86">
        <f t="shared" si="52"/>
        <v>4983.6177146925002</v>
      </c>
    </row>
    <row r="81" spans="1:14" x14ac:dyDescent="0.25">
      <c r="A81" s="81" t="s">
        <v>128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3"/>
      <c r="M81" s="83"/>
      <c r="N81" s="84"/>
    </row>
    <row r="82" spans="1:14" x14ac:dyDescent="0.25">
      <c r="A82" s="85" t="s">
        <v>124</v>
      </c>
      <c r="B82" s="90">
        <v>0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1">
        <v>0</v>
      </c>
      <c r="M82" s="91">
        <v>0</v>
      </c>
      <c r="N82" s="91">
        <f t="shared" si="52"/>
        <v>0</v>
      </c>
    </row>
    <row r="83" spans="1:14" x14ac:dyDescent="0.25">
      <c r="A83" s="85" t="s">
        <v>125</v>
      </c>
      <c r="B83" s="92">
        <f>B84</f>
        <v>3000</v>
      </c>
      <c r="C83" s="92">
        <f t="shared" ref="C83:M83" si="61">C84</f>
        <v>200</v>
      </c>
      <c r="D83" s="92">
        <f t="shared" si="61"/>
        <v>300</v>
      </c>
      <c r="E83" s="92">
        <f t="shared" si="61"/>
        <v>0</v>
      </c>
      <c r="F83" s="92">
        <f t="shared" si="61"/>
        <v>0</v>
      </c>
      <c r="G83" s="92">
        <f t="shared" si="61"/>
        <v>0</v>
      </c>
      <c r="H83" s="92">
        <f t="shared" si="61"/>
        <v>0</v>
      </c>
      <c r="I83" s="92">
        <f t="shared" si="61"/>
        <v>0</v>
      </c>
      <c r="J83" s="92">
        <f t="shared" si="61"/>
        <v>0</v>
      </c>
      <c r="K83" s="92">
        <f t="shared" si="61"/>
        <v>0</v>
      </c>
      <c r="L83" s="92">
        <f t="shared" si="61"/>
        <v>0</v>
      </c>
      <c r="M83" s="92">
        <f t="shared" si="61"/>
        <v>0</v>
      </c>
      <c r="N83" s="92">
        <f t="shared" si="52"/>
        <v>3500</v>
      </c>
    </row>
    <row r="84" spans="1:14" x14ac:dyDescent="0.25">
      <c r="A84" s="87" t="s">
        <v>129</v>
      </c>
      <c r="B84" s="93">
        <f>SUM('Данные Заявителя'!C71:E74)/1000</f>
        <v>3000</v>
      </c>
      <c r="C84" s="93">
        <f>SUM('Данные Заявителя'!F71:H74)/1000</f>
        <v>200</v>
      </c>
      <c r="D84" s="93">
        <f>SUM('Данные Заявителя'!I71:K74)/1000</f>
        <v>300</v>
      </c>
      <c r="E84" s="93">
        <f>SUM('Данные Заявителя'!L71:N74)/1000</f>
        <v>0</v>
      </c>
      <c r="F84" s="93">
        <f>SUM('Данные Заявителя'!O71:Q74)/1000</f>
        <v>0</v>
      </c>
      <c r="G84" s="93">
        <f>SUM('Данные Заявителя'!R71:T74)/1000</f>
        <v>0</v>
      </c>
      <c r="H84" s="93">
        <f>SUM('Данные Заявителя'!U71:W74)/1000</f>
        <v>0</v>
      </c>
      <c r="I84" s="93">
        <f>SUM('Данные Заявителя'!X71:Z74)/1000</f>
        <v>0</v>
      </c>
      <c r="J84" s="93">
        <f>SUM('Данные Заявителя'!AA71:AC74)/1000</f>
        <v>0</v>
      </c>
      <c r="K84" s="93">
        <f>SUM('Данные Заявителя'!AD71:AF74)/1000</f>
        <v>0</v>
      </c>
      <c r="L84" s="93">
        <f>SUM('Данные Заявителя'!AG71:AI74)/1000</f>
        <v>0</v>
      </c>
      <c r="M84" s="93">
        <f>SUM('Данные Заявителя'!AJ71:AL74)/1000</f>
        <v>0</v>
      </c>
      <c r="N84" s="93">
        <f t="shared" si="52"/>
        <v>3500</v>
      </c>
    </row>
    <row r="85" spans="1:14" x14ac:dyDescent="0.25">
      <c r="A85" s="85" t="s">
        <v>130</v>
      </c>
      <c r="B85" s="92">
        <f>B82-B83</f>
        <v>-3000</v>
      </c>
      <c r="C85" s="92">
        <f t="shared" ref="C85:M85" si="62">C82-C83</f>
        <v>-200</v>
      </c>
      <c r="D85" s="92">
        <f t="shared" si="62"/>
        <v>-300</v>
      </c>
      <c r="E85" s="92">
        <f t="shared" si="62"/>
        <v>0</v>
      </c>
      <c r="F85" s="92">
        <f t="shared" si="62"/>
        <v>0</v>
      </c>
      <c r="G85" s="92">
        <f t="shared" si="62"/>
        <v>0</v>
      </c>
      <c r="H85" s="92">
        <f t="shared" si="62"/>
        <v>0</v>
      </c>
      <c r="I85" s="92">
        <f t="shared" si="62"/>
        <v>0</v>
      </c>
      <c r="J85" s="92">
        <f t="shared" si="62"/>
        <v>0</v>
      </c>
      <c r="K85" s="92">
        <f t="shared" si="62"/>
        <v>0</v>
      </c>
      <c r="L85" s="92">
        <f t="shared" si="62"/>
        <v>0</v>
      </c>
      <c r="M85" s="92">
        <f t="shared" si="62"/>
        <v>0</v>
      </c>
      <c r="N85" s="92">
        <f t="shared" si="52"/>
        <v>-3500</v>
      </c>
    </row>
    <row r="86" spans="1:14" x14ac:dyDescent="0.25">
      <c r="A86" s="81" t="s">
        <v>131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3"/>
      <c r="M86" s="83"/>
      <c r="N86" s="84"/>
    </row>
    <row r="87" spans="1:14" x14ac:dyDescent="0.25">
      <c r="A87" s="85" t="s">
        <v>124</v>
      </c>
      <c r="B87" s="92">
        <f>SUM(B88:B89)</f>
        <v>3000</v>
      </c>
      <c r="C87" s="92">
        <f t="shared" ref="C87:M87" si="63">SUM(C88:C89)</f>
        <v>0</v>
      </c>
      <c r="D87" s="92">
        <f t="shared" si="63"/>
        <v>0</v>
      </c>
      <c r="E87" s="92">
        <f t="shared" si="63"/>
        <v>0</v>
      </c>
      <c r="F87" s="92">
        <f t="shared" si="63"/>
        <v>0</v>
      </c>
      <c r="G87" s="92">
        <f t="shared" si="63"/>
        <v>0</v>
      </c>
      <c r="H87" s="92">
        <f t="shared" si="63"/>
        <v>0</v>
      </c>
      <c r="I87" s="92">
        <f t="shared" si="63"/>
        <v>0</v>
      </c>
      <c r="J87" s="92">
        <f t="shared" si="63"/>
        <v>0</v>
      </c>
      <c r="K87" s="92">
        <f t="shared" si="63"/>
        <v>0</v>
      </c>
      <c r="L87" s="92">
        <f t="shared" si="63"/>
        <v>0</v>
      </c>
      <c r="M87" s="92">
        <f t="shared" si="63"/>
        <v>0</v>
      </c>
      <c r="N87" s="92">
        <f t="shared" si="52"/>
        <v>3000</v>
      </c>
    </row>
    <row r="88" spans="1:14" x14ac:dyDescent="0.25">
      <c r="A88" s="87" t="s">
        <v>166</v>
      </c>
      <c r="B88" s="93">
        <f>'Данные Заявителя'!B87/1000</f>
        <v>2000</v>
      </c>
      <c r="C88" s="93">
        <f>'Данные Заявителя'!C87/1000</f>
        <v>0</v>
      </c>
      <c r="D88" s="93">
        <f>'Данные Заявителя'!D87/1000</f>
        <v>0</v>
      </c>
      <c r="E88" s="93">
        <f>'Данные Заявителя'!E87/1000</f>
        <v>0</v>
      </c>
      <c r="F88" s="93">
        <f>'Данные Заявителя'!F87/1000</f>
        <v>0</v>
      </c>
      <c r="G88" s="93">
        <f>'Данные Заявителя'!G87/1000</f>
        <v>0</v>
      </c>
      <c r="H88" s="93">
        <f>'Данные Заявителя'!H87/1000</f>
        <v>0</v>
      </c>
      <c r="I88" s="93">
        <f>'Данные Заявителя'!I87/1000</f>
        <v>0</v>
      </c>
      <c r="J88" s="93">
        <f>'Данные Заявителя'!J87/1000</f>
        <v>0</v>
      </c>
      <c r="K88" s="93">
        <f>'Данные Заявителя'!K87/1000</f>
        <v>0</v>
      </c>
      <c r="L88" s="93">
        <f>'Данные Заявителя'!L87/1000</f>
        <v>0</v>
      </c>
      <c r="M88" s="93">
        <f>'Данные Заявителя'!M87/1000</f>
        <v>0</v>
      </c>
      <c r="N88" s="93">
        <f t="shared" si="52"/>
        <v>2000</v>
      </c>
    </row>
    <row r="89" spans="1:14" x14ac:dyDescent="0.25">
      <c r="A89" s="87" t="s">
        <v>164</v>
      </c>
      <c r="B89" s="93">
        <f>'Данные Заявителя'!B26/1000</f>
        <v>1000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1">
        <v>0</v>
      </c>
      <c r="M89" s="91">
        <v>0</v>
      </c>
      <c r="N89" s="91">
        <f t="shared" si="52"/>
        <v>1000</v>
      </c>
    </row>
    <row r="90" spans="1:14" x14ac:dyDescent="0.25">
      <c r="A90" s="85" t="s">
        <v>125</v>
      </c>
      <c r="B90" s="92">
        <f>SUM(B91:B92)</f>
        <v>0</v>
      </c>
      <c r="C90" s="92">
        <f t="shared" ref="C90:M90" si="64">SUM(C91:C92)</f>
        <v>80.02033999999999</v>
      </c>
      <c r="D90" s="92">
        <f t="shared" si="64"/>
        <v>82.037559999999999</v>
      </c>
      <c r="E90" s="92">
        <f t="shared" si="64"/>
        <v>84.105639999999994</v>
      </c>
      <c r="F90" s="92">
        <f t="shared" si="64"/>
        <v>1886.22585</v>
      </c>
      <c r="G90" s="92">
        <f t="shared" si="64"/>
        <v>288.39952</v>
      </c>
      <c r="H90" s="92">
        <f t="shared" si="64"/>
        <v>90.627970000000005</v>
      </c>
      <c r="I90" s="92">
        <f t="shared" si="64"/>
        <v>92.912600000000012</v>
      </c>
      <c r="J90" s="92">
        <f t="shared" si="64"/>
        <v>95.254829999999998</v>
      </c>
      <c r="K90" s="92">
        <f t="shared" si="64"/>
        <v>97.656100000000009</v>
      </c>
      <c r="L90" s="92">
        <f t="shared" si="64"/>
        <v>100.11791000000001</v>
      </c>
      <c r="M90" s="92">
        <f t="shared" si="64"/>
        <v>102.64176999999999</v>
      </c>
      <c r="N90" s="92">
        <f t="shared" si="52"/>
        <v>3000.00009</v>
      </c>
    </row>
    <row r="91" spans="1:14" x14ac:dyDescent="0.25">
      <c r="A91" s="95" t="s">
        <v>165</v>
      </c>
      <c r="B91" s="93">
        <f>SUM('Данные Заявителя'!B130:B132)</f>
        <v>0</v>
      </c>
      <c r="C91" s="93">
        <f>SUM('Данные Заявителя'!B133:B135)/1000</f>
        <v>80.02033999999999</v>
      </c>
      <c r="D91" s="93">
        <f>SUM('Данные Заявителя'!B136:B138)/1000</f>
        <v>82.037559999999999</v>
      </c>
      <c r="E91" s="93">
        <f>SUM('Данные Заявителя'!B139:B141)/1000</f>
        <v>84.105639999999994</v>
      </c>
      <c r="F91" s="93">
        <f>SUM('Данные Заявителя'!B142:B144)/1000</f>
        <v>86.225850000000008</v>
      </c>
      <c r="G91" s="93">
        <f>SUM('Данные Заявителя'!B145:B147)/1000</f>
        <v>88.39952000000001</v>
      </c>
      <c r="H91" s="93">
        <f>SUM('Данные Заявителя'!B148:B150)/1000</f>
        <v>90.627970000000005</v>
      </c>
      <c r="I91" s="93">
        <f>SUM('Данные Заявителя'!B151:B153)/1000</f>
        <v>92.912600000000012</v>
      </c>
      <c r="J91" s="93">
        <f>SUM('Данные Заявителя'!B154:B156)/1000</f>
        <v>95.254829999999998</v>
      </c>
      <c r="K91" s="93">
        <f>SUM('Данные Заявителя'!B157:B159)/1000</f>
        <v>97.656100000000009</v>
      </c>
      <c r="L91" s="93">
        <f>SUM('Данные Заявителя'!B160:B162)/1000</f>
        <v>100.11791000000001</v>
      </c>
      <c r="M91" s="93">
        <f>SUM('Данные Заявителя'!B163:B165)/1000</f>
        <v>102.64176999999999</v>
      </c>
      <c r="N91" s="93">
        <f t="shared" si="52"/>
        <v>1000.00009</v>
      </c>
    </row>
    <row r="92" spans="1:14" x14ac:dyDescent="0.25">
      <c r="A92" s="96" t="s">
        <v>167</v>
      </c>
      <c r="B92" s="93">
        <f>'Данные Заявителя'!B88/1000</f>
        <v>0</v>
      </c>
      <c r="C92" s="93">
        <f>'Данные Заявителя'!C88/1000</f>
        <v>0</v>
      </c>
      <c r="D92" s="93">
        <f>'Данные Заявителя'!D88/1000</f>
        <v>0</v>
      </c>
      <c r="E92" s="93">
        <f>'Данные Заявителя'!E88/1000</f>
        <v>0</v>
      </c>
      <c r="F92" s="93">
        <f>'Данные Заявителя'!F88/1000</f>
        <v>1800</v>
      </c>
      <c r="G92" s="93">
        <f>'Данные Заявителя'!G88/1000</f>
        <v>200</v>
      </c>
      <c r="H92" s="93">
        <f>'Данные Заявителя'!H88/1000</f>
        <v>0</v>
      </c>
      <c r="I92" s="93">
        <f>'Данные Заявителя'!I88/1000</f>
        <v>0</v>
      </c>
      <c r="J92" s="93">
        <f>'Данные Заявителя'!J88/1000</f>
        <v>0</v>
      </c>
      <c r="K92" s="93">
        <f>'Данные Заявителя'!K88/1000</f>
        <v>0</v>
      </c>
      <c r="L92" s="93">
        <f>'Данные Заявителя'!L88/1000</f>
        <v>0</v>
      </c>
      <c r="M92" s="93">
        <f>'Данные Заявителя'!M88/1000</f>
        <v>0</v>
      </c>
      <c r="N92" s="93">
        <f t="shared" si="52"/>
        <v>2000</v>
      </c>
    </row>
    <row r="93" spans="1:14" x14ac:dyDescent="0.25">
      <c r="A93" s="85" t="s">
        <v>132</v>
      </c>
      <c r="B93" s="92">
        <f>B87-B90</f>
        <v>3000</v>
      </c>
      <c r="C93" s="92">
        <f t="shared" ref="C93:M93" si="65">C87-C90</f>
        <v>-80.02033999999999</v>
      </c>
      <c r="D93" s="92">
        <f t="shared" si="65"/>
        <v>-82.037559999999999</v>
      </c>
      <c r="E93" s="92">
        <f t="shared" si="65"/>
        <v>-84.105639999999994</v>
      </c>
      <c r="F93" s="92">
        <f t="shared" si="65"/>
        <v>-1886.22585</v>
      </c>
      <c r="G93" s="92">
        <f t="shared" si="65"/>
        <v>-288.39952</v>
      </c>
      <c r="H93" s="92">
        <f t="shared" si="65"/>
        <v>-90.627970000000005</v>
      </c>
      <c r="I93" s="92">
        <f t="shared" si="65"/>
        <v>-92.912600000000012</v>
      </c>
      <c r="J93" s="92">
        <f t="shared" si="65"/>
        <v>-95.254829999999998</v>
      </c>
      <c r="K93" s="92">
        <f t="shared" si="65"/>
        <v>-97.656100000000009</v>
      </c>
      <c r="L93" s="92">
        <f t="shared" si="65"/>
        <v>-100.11791000000001</v>
      </c>
      <c r="M93" s="92">
        <f t="shared" si="65"/>
        <v>-102.64176999999999</v>
      </c>
      <c r="N93" s="92">
        <f t="shared" si="52"/>
        <v>-9.0000000426471161E-5</v>
      </c>
    </row>
    <row r="94" spans="1:14" x14ac:dyDescent="0.25">
      <c r="A94" s="97" t="s">
        <v>133</v>
      </c>
      <c r="B94" s="98">
        <f>B80+B85+B93</f>
        <v>145.78365443462508</v>
      </c>
      <c r="C94" s="98">
        <f t="shared" ref="C94:M94" si="66">C80+C85+C93</f>
        <v>-143.22354556537488</v>
      </c>
      <c r="D94" s="98">
        <f t="shared" si="66"/>
        <v>-30.10354556537483</v>
      </c>
      <c r="E94" s="98">
        <f t="shared" si="66"/>
        <v>849.596454434625</v>
      </c>
      <c r="F94" s="98">
        <f t="shared" si="66"/>
        <v>-1170.1701233480624</v>
      </c>
      <c r="G94" s="98">
        <f t="shared" si="66"/>
        <v>429.82987665193758</v>
      </c>
      <c r="H94" s="98">
        <f t="shared" si="66"/>
        <v>629.82987665193764</v>
      </c>
      <c r="I94" s="98">
        <f t="shared" si="66"/>
        <v>629.82987665193775</v>
      </c>
      <c r="J94" s="98">
        <f t="shared" si="66"/>
        <v>37.50741708656173</v>
      </c>
      <c r="K94" s="98">
        <f t="shared" si="66"/>
        <v>-6.3803989134374604</v>
      </c>
      <c r="L94" s="98">
        <f t="shared" si="66"/>
        <v>55.559041086561976</v>
      </c>
      <c r="M94" s="98">
        <f t="shared" si="66"/>
        <v>55.559041086562232</v>
      </c>
      <c r="N94" s="98">
        <f t="shared" si="52"/>
        <v>1483.6176246924995</v>
      </c>
    </row>
    <row r="95" spans="1:14" x14ac:dyDescent="0.25">
      <c r="A95" s="89" t="s">
        <v>134</v>
      </c>
      <c r="B95" s="93">
        <f>'Данные Заявителя'!B32/1000</f>
        <v>500</v>
      </c>
      <c r="C95" s="93">
        <f>B96</f>
        <v>645.78365443462508</v>
      </c>
      <c r="D95" s="93">
        <f t="shared" ref="D95:M95" si="67">C96</f>
        <v>502.5601088692502</v>
      </c>
      <c r="E95" s="93">
        <f t="shared" si="67"/>
        <v>472.45656330387538</v>
      </c>
      <c r="F95" s="93">
        <f t="shared" si="67"/>
        <v>1322.0530177385003</v>
      </c>
      <c r="G95" s="93">
        <f t="shared" si="67"/>
        <v>151.88289439043797</v>
      </c>
      <c r="H95" s="93">
        <f t="shared" si="67"/>
        <v>581.71277104237561</v>
      </c>
      <c r="I95" s="93">
        <f t="shared" si="67"/>
        <v>1211.5426476943132</v>
      </c>
      <c r="J95" s="93">
        <f t="shared" si="67"/>
        <v>1841.3725243462509</v>
      </c>
      <c r="K95" s="93">
        <f t="shared" si="67"/>
        <v>1878.8799414328125</v>
      </c>
      <c r="L95" s="93">
        <f t="shared" si="67"/>
        <v>1872.4995425193752</v>
      </c>
      <c r="M95" s="93">
        <f t="shared" si="67"/>
        <v>1928.0585836059372</v>
      </c>
      <c r="N95" s="93">
        <f>B95</f>
        <v>500</v>
      </c>
    </row>
    <row r="96" spans="1:14" x14ac:dyDescent="0.25">
      <c r="A96" s="89" t="s">
        <v>135</v>
      </c>
      <c r="B96" s="93">
        <f>B95+B94</f>
        <v>645.78365443462508</v>
      </c>
      <c r="C96" s="93">
        <f t="shared" ref="C96:M96" si="68">C95+C94</f>
        <v>502.5601088692502</v>
      </c>
      <c r="D96" s="93">
        <f t="shared" si="68"/>
        <v>472.45656330387538</v>
      </c>
      <c r="E96" s="93">
        <f t="shared" si="68"/>
        <v>1322.0530177385003</v>
      </c>
      <c r="F96" s="93">
        <f t="shared" si="68"/>
        <v>151.88289439043797</v>
      </c>
      <c r="G96" s="93">
        <f t="shared" si="68"/>
        <v>581.71277104237561</v>
      </c>
      <c r="H96" s="93">
        <f t="shared" si="68"/>
        <v>1211.5426476943132</v>
      </c>
      <c r="I96" s="93">
        <f t="shared" si="68"/>
        <v>1841.3725243462509</v>
      </c>
      <c r="J96" s="93">
        <f t="shared" si="68"/>
        <v>1878.8799414328125</v>
      </c>
      <c r="K96" s="93">
        <f t="shared" si="68"/>
        <v>1872.4995425193752</v>
      </c>
      <c r="L96" s="93">
        <f t="shared" si="68"/>
        <v>1928.0585836059372</v>
      </c>
      <c r="M96" s="93">
        <f t="shared" si="68"/>
        <v>1983.6176246924995</v>
      </c>
      <c r="N96" s="93">
        <f>M96</f>
        <v>1983.6176246924995</v>
      </c>
    </row>
    <row r="97" spans="1:14" x14ac:dyDescent="0.25">
      <c r="A97" s="99" t="s">
        <v>136</v>
      </c>
      <c r="B97" s="100">
        <f>B94</f>
        <v>145.78365443462508</v>
      </c>
      <c r="C97" s="100">
        <f>B97+C94</f>
        <v>2.5601088692502003</v>
      </c>
      <c r="D97" s="100">
        <f t="shared" ref="D97:M97" si="69">C97+D94</f>
        <v>-27.54343669612463</v>
      </c>
      <c r="E97" s="100">
        <f t="shared" si="69"/>
        <v>822.05301773850033</v>
      </c>
      <c r="F97" s="100">
        <f t="shared" si="69"/>
        <v>-348.11710560956203</v>
      </c>
      <c r="G97" s="100">
        <f t="shared" si="69"/>
        <v>81.71277104237555</v>
      </c>
      <c r="H97" s="100">
        <f t="shared" si="69"/>
        <v>711.54264769431325</v>
      </c>
      <c r="I97" s="100">
        <f t="shared" si="69"/>
        <v>1341.3725243462509</v>
      </c>
      <c r="J97" s="100">
        <f t="shared" si="69"/>
        <v>1378.8799414328125</v>
      </c>
      <c r="K97" s="100">
        <f t="shared" si="69"/>
        <v>1372.4995425193752</v>
      </c>
      <c r="L97" s="100">
        <f t="shared" si="69"/>
        <v>1428.0585836059372</v>
      </c>
      <c r="M97" s="100">
        <f t="shared" si="69"/>
        <v>1483.6176246924995</v>
      </c>
      <c r="N97" s="100"/>
    </row>
    <row r="100" spans="1:14" x14ac:dyDescent="0.25">
      <c r="A100" s="33" t="s">
        <v>238</v>
      </c>
    </row>
    <row r="101" spans="1:14" x14ac:dyDescent="0.25">
      <c r="A101" s="224" t="s">
        <v>161</v>
      </c>
      <c r="B101" s="223" t="s">
        <v>112</v>
      </c>
      <c r="C101" s="223"/>
      <c r="D101" s="223"/>
      <c r="E101" s="223"/>
      <c r="F101" s="223" t="s">
        <v>114</v>
      </c>
      <c r="G101" s="223"/>
      <c r="H101" s="223"/>
      <c r="I101" s="223"/>
      <c r="J101" s="223" t="s">
        <v>115</v>
      </c>
      <c r="K101" s="223"/>
      <c r="L101" s="223"/>
      <c r="M101" s="223"/>
    </row>
    <row r="102" spans="1:14" x14ac:dyDescent="0.25">
      <c r="A102" s="225"/>
      <c r="B102" s="46" t="s">
        <v>108</v>
      </c>
      <c r="C102" s="46" t="s">
        <v>109</v>
      </c>
      <c r="D102" s="46" t="s">
        <v>110</v>
      </c>
      <c r="E102" s="46" t="s">
        <v>111</v>
      </c>
      <c r="F102" s="46" t="s">
        <v>108</v>
      </c>
      <c r="G102" s="46" t="s">
        <v>109</v>
      </c>
      <c r="H102" s="46" t="s">
        <v>110</v>
      </c>
      <c r="I102" s="46" t="s">
        <v>111</v>
      </c>
      <c r="J102" s="46" t="s">
        <v>108</v>
      </c>
      <c r="K102" s="46" t="s">
        <v>109</v>
      </c>
      <c r="L102" s="46" t="s">
        <v>110</v>
      </c>
      <c r="M102" s="46" t="s">
        <v>111</v>
      </c>
    </row>
    <row r="103" spans="1:14" ht="30" x14ac:dyDescent="0.25">
      <c r="A103" s="101" t="s">
        <v>184</v>
      </c>
      <c r="B103" s="102">
        <f>B85</f>
        <v>-3000</v>
      </c>
      <c r="C103" s="102">
        <f t="shared" ref="C103:M103" si="70">C85</f>
        <v>-200</v>
      </c>
      <c r="D103" s="102">
        <f t="shared" si="70"/>
        <v>-300</v>
      </c>
      <c r="E103" s="102">
        <f t="shared" si="70"/>
        <v>0</v>
      </c>
      <c r="F103" s="102">
        <f t="shared" si="70"/>
        <v>0</v>
      </c>
      <c r="G103" s="102">
        <f t="shared" si="70"/>
        <v>0</v>
      </c>
      <c r="H103" s="102">
        <f t="shared" si="70"/>
        <v>0</v>
      </c>
      <c r="I103" s="102">
        <f t="shared" si="70"/>
        <v>0</v>
      </c>
      <c r="J103" s="102">
        <f t="shared" si="70"/>
        <v>0</v>
      </c>
      <c r="K103" s="102">
        <f t="shared" si="70"/>
        <v>0</v>
      </c>
      <c r="L103" s="102">
        <f t="shared" si="70"/>
        <v>0</v>
      </c>
      <c r="M103" s="102">
        <f t="shared" si="70"/>
        <v>0</v>
      </c>
    </row>
    <row r="104" spans="1:14" ht="30" x14ac:dyDescent="0.25">
      <c r="A104" s="101" t="s">
        <v>185</v>
      </c>
      <c r="B104" s="102">
        <f>B80</f>
        <v>145.78365443462496</v>
      </c>
      <c r="C104" s="102">
        <f t="shared" ref="C104:M104" si="71">C80</f>
        <v>136.7967944346251</v>
      </c>
      <c r="D104" s="102">
        <f t="shared" si="71"/>
        <v>351.93401443462517</v>
      </c>
      <c r="E104" s="102">
        <f t="shared" si="71"/>
        <v>933.702094434625</v>
      </c>
      <c r="F104" s="102">
        <f t="shared" si="71"/>
        <v>716.05572665193768</v>
      </c>
      <c r="G104" s="102">
        <f t="shared" si="71"/>
        <v>718.22939665193758</v>
      </c>
      <c r="H104" s="102">
        <f t="shared" si="71"/>
        <v>720.45784665193764</v>
      </c>
      <c r="I104" s="102">
        <f t="shared" si="71"/>
        <v>722.74247665193775</v>
      </c>
      <c r="J104" s="102">
        <f t="shared" si="71"/>
        <v>132.76224708656173</v>
      </c>
      <c r="K104" s="102">
        <f t="shared" si="71"/>
        <v>91.275701086562549</v>
      </c>
      <c r="L104" s="102">
        <f t="shared" si="71"/>
        <v>155.67695108656198</v>
      </c>
      <c r="M104" s="102">
        <f t="shared" si="71"/>
        <v>158.20081108656223</v>
      </c>
    </row>
    <row r="105" spans="1:14" ht="30" x14ac:dyDescent="0.25">
      <c r="A105" s="101" t="s">
        <v>186</v>
      </c>
      <c r="B105" s="102">
        <f>B103+B104</f>
        <v>-2854.2163455653749</v>
      </c>
      <c r="C105" s="102">
        <f t="shared" ref="C105:M105" si="72">C103+C104</f>
        <v>-63.203205565374901</v>
      </c>
      <c r="D105" s="102">
        <f t="shared" si="72"/>
        <v>51.934014434625169</v>
      </c>
      <c r="E105" s="102">
        <f t="shared" si="72"/>
        <v>933.702094434625</v>
      </c>
      <c r="F105" s="102">
        <f t="shared" si="72"/>
        <v>716.05572665193768</v>
      </c>
      <c r="G105" s="102">
        <f t="shared" si="72"/>
        <v>718.22939665193758</v>
      </c>
      <c r="H105" s="102">
        <f t="shared" si="72"/>
        <v>720.45784665193764</v>
      </c>
      <c r="I105" s="102">
        <f t="shared" si="72"/>
        <v>722.74247665193775</v>
      </c>
      <c r="J105" s="102">
        <f t="shared" si="72"/>
        <v>132.76224708656173</v>
      </c>
      <c r="K105" s="102">
        <f t="shared" si="72"/>
        <v>91.275701086562549</v>
      </c>
      <c r="L105" s="102">
        <f t="shared" si="72"/>
        <v>155.67695108656198</v>
      </c>
      <c r="M105" s="102">
        <f t="shared" si="72"/>
        <v>158.20081108656223</v>
      </c>
    </row>
    <row r="106" spans="1:14" s="52" customFormat="1" ht="30" x14ac:dyDescent="0.25">
      <c r="A106" s="103" t="s">
        <v>187</v>
      </c>
      <c r="B106" s="104">
        <f>B105</f>
        <v>-2854.2163455653749</v>
      </c>
      <c r="C106" s="104">
        <f>B106+C105</f>
        <v>-2917.4195511307498</v>
      </c>
      <c r="D106" s="104">
        <f t="shared" ref="D106:M106" si="73">C106+D105</f>
        <v>-2865.4855366961247</v>
      </c>
      <c r="E106" s="104">
        <f t="shared" si="73"/>
        <v>-1931.7834422614997</v>
      </c>
      <c r="F106" s="104">
        <f t="shared" si="73"/>
        <v>-1215.727715609562</v>
      </c>
      <c r="G106" s="104">
        <f t="shared" si="73"/>
        <v>-497.49831895762441</v>
      </c>
      <c r="H106" s="104">
        <f t="shared" si="73"/>
        <v>222.95952769431324</v>
      </c>
      <c r="I106" s="104">
        <f t="shared" si="73"/>
        <v>945.70200434625099</v>
      </c>
      <c r="J106" s="104">
        <f t="shared" si="73"/>
        <v>1078.4642514328127</v>
      </c>
      <c r="K106" s="104">
        <f t="shared" si="73"/>
        <v>1169.7399525193753</v>
      </c>
      <c r="L106" s="104">
        <f t="shared" si="73"/>
        <v>1325.4169036059373</v>
      </c>
      <c r="M106" s="104">
        <f t="shared" si="73"/>
        <v>1483.6177146924995</v>
      </c>
    </row>
    <row r="107" spans="1:14" ht="30" x14ac:dyDescent="0.25">
      <c r="A107" s="103" t="s">
        <v>171</v>
      </c>
      <c r="B107" s="105">
        <f>(1+B110)^(1/4)-1</f>
        <v>2.7395218779641572E-2</v>
      </c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1:14" x14ac:dyDescent="0.25">
      <c r="A108" s="103" t="s">
        <v>172</v>
      </c>
      <c r="B108" s="108">
        <f>1/(1+$B$107)^1</f>
        <v>0.97333526740353915</v>
      </c>
      <c r="C108" s="108">
        <f>1/(1+$B$107)^2</f>
        <v>0.94738154277151909</v>
      </c>
      <c r="D108" s="108">
        <f>1/(1+$B$107)^3</f>
        <v>0.92211986726669404</v>
      </c>
      <c r="E108" s="108">
        <f>1/(1+$B$107)^4</f>
        <v>0.89753178758414354</v>
      </c>
      <c r="F108" s="108">
        <f>1/(1+$B$107)^5</f>
        <v>0.87359934247138871</v>
      </c>
      <c r="G108" s="108">
        <f>1/(1+$B$107)^6</f>
        <v>0.85030504960794528</v>
      </c>
      <c r="H108" s="108">
        <f>1/(1+$B$107)^7</f>
        <v>0.82763189283472904</v>
      </c>
      <c r="I108" s="108">
        <f>1/(1+$B$107)^8</f>
        <v>0.80556330972398815</v>
      </c>
      <c r="J108" s="108">
        <f>1/(1+$B$107)^9</f>
        <v>0.78408317948067796</v>
      </c>
      <c r="K108" s="108">
        <f>1/(1+$B$107)^10</f>
        <v>0.76317581116644284</v>
      </c>
      <c r="L108" s="108">
        <f>1/(1+$B$107)^11</f>
        <v>0.74282593223760263</v>
      </c>
      <c r="M108" s="108">
        <f>1/(1+$B$107)^12</f>
        <v>0.72301867738877013</v>
      </c>
    </row>
    <row r="109" spans="1:14" ht="30" x14ac:dyDescent="0.25">
      <c r="A109" s="103" t="s">
        <v>183</v>
      </c>
      <c r="B109" s="109">
        <f>B105*B108</f>
        <v>-2778.1094299384267</v>
      </c>
      <c r="C109" s="109">
        <f t="shared" ref="C109:M109" si="74">C105*C108</f>
        <v>-59.877550396630333</v>
      </c>
      <c r="D109" s="109">
        <f t="shared" si="74"/>
        <v>47.88938649708313</v>
      </c>
      <c r="E109" s="109">
        <f t="shared" si="74"/>
        <v>838.02730988896781</v>
      </c>
      <c r="F109" s="109">
        <f t="shared" si="74"/>
        <v>625.54581197600521</v>
      </c>
      <c r="G109" s="109">
        <f t="shared" si="74"/>
        <v>610.71408275001045</v>
      </c>
      <c r="H109" s="109">
        <f t="shared" si="74"/>
        <v>596.27389133217616</v>
      </c>
      <c r="I109" s="109">
        <f t="shared" si="74"/>
        <v>582.21482156984723</v>
      </c>
      <c r="J109" s="109">
        <f t="shared" si="74"/>
        <v>104.09664481063069</v>
      </c>
      <c r="K109" s="109">
        <f t="shared" si="74"/>
        <v>69.659407216523135</v>
      </c>
      <c r="L109" s="109">
        <f t="shared" si="74"/>
        <v>115.64087631878307</v>
      </c>
      <c r="M109" s="109">
        <f t="shared" si="74"/>
        <v>114.3821411936369</v>
      </c>
    </row>
    <row r="110" spans="1:14" ht="30" x14ac:dyDescent="0.25">
      <c r="A110" s="101" t="s">
        <v>177</v>
      </c>
      <c r="B110" s="110">
        <f>('Данные Заявителя'!B5+'Итоговые расчеты модели'!C6*'Данные Заявителя'!B6)*'Данные Заявителя'!B32/('Данные Заявителя'!B26+'Данные Заявителя'!B32)+('Данные Заявителя'!B29)*'Данные Заявителя'!B26/('Данные Заявителя'!B26+'Данные Заявителя'!B32)</f>
        <v>0.11416666666666667</v>
      </c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</row>
    <row r="111" spans="1:14" ht="30" x14ac:dyDescent="0.25">
      <c r="A111" s="101" t="s">
        <v>178</v>
      </c>
      <c r="B111" s="35" t="str">
        <f>CONCATENATE(ROUND(SUM(B109:M109),0),"  тыс. руб.")</f>
        <v>866  тыс. руб.</v>
      </c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4" ht="30" x14ac:dyDescent="0.25">
      <c r="A112" s="101" t="s">
        <v>180</v>
      </c>
      <c r="B112" s="110">
        <f>ABS(AVERAGE(B104:M104)/SUM(B103:M103))</f>
        <v>0.11865756463553571</v>
      </c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30" x14ac:dyDescent="0.25">
      <c r="A113" s="101" t="s">
        <v>179</v>
      </c>
      <c r="B113" s="115">
        <f>IRR(B105:M105)</f>
        <v>8.1540732649001857E-2</v>
      </c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x14ac:dyDescent="0.25">
      <c r="A114" s="101" t="s">
        <v>181</v>
      </c>
      <c r="B114" s="42" t="str">
        <f>CONCATENATE(ROUND(1/B112,2),"  квартала")</f>
        <v>8,43  квартала</v>
      </c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30" x14ac:dyDescent="0.25">
      <c r="A115" s="101" t="s">
        <v>182</v>
      </c>
      <c r="B115" s="42" t="str">
        <f>CONCATENATE(ROUND(1/ABS(AVERAGE(B310:M310)/SUM(B309:M309)),1),"  квартала")</f>
        <v>9,6  квартала</v>
      </c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1:13" x14ac:dyDescent="0.2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8" spans="1:13" x14ac:dyDescent="0.25">
      <c r="A118" s="117" t="s">
        <v>239</v>
      </c>
      <c r="D118" s="118"/>
      <c r="E118" s="119"/>
      <c r="F118" s="120"/>
    </row>
    <row r="119" spans="1:13" x14ac:dyDescent="0.25">
      <c r="A119" s="117"/>
      <c r="D119" s="118"/>
      <c r="E119" s="119"/>
      <c r="F119" s="120"/>
    </row>
    <row r="120" spans="1:13" x14ac:dyDescent="0.25">
      <c r="A120" s="117"/>
      <c r="D120" s="118"/>
      <c r="E120" s="119"/>
      <c r="F120" s="120"/>
    </row>
    <row r="121" spans="1:13" x14ac:dyDescent="0.25">
      <c r="A121" s="117"/>
      <c r="D121" s="118"/>
      <c r="E121" s="119"/>
      <c r="F121" s="120"/>
    </row>
    <row r="122" spans="1:13" x14ac:dyDescent="0.25">
      <c r="A122" s="117"/>
      <c r="D122" s="118"/>
      <c r="E122" s="119"/>
      <c r="F122" s="120"/>
    </row>
    <row r="123" spans="1:13" x14ac:dyDescent="0.25">
      <c r="A123" s="117"/>
      <c r="D123" s="118"/>
      <c r="E123" s="119"/>
      <c r="F123" s="120"/>
    </row>
    <row r="124" spans="1:13" x14ac:dyDescent="0.25">
      <c r="A124" s="117"/>
      <c r="D124" s="118"/>
      <c r="E124" s="119"/>
      <c r="F124" s="120"/>
    </row>
    <row r="125" spans="1:13" x14ac:dyDescent="0.25">
      <c r="A125" s="117"/>
      <c r="D125" s="118"/>
      <c r="E125" s="119"/>
      <c r="F125" s="120"/>
    </row>
    <row r="126" spans="1:13" x14ac:dyDescent="0.25">
      <c r="A126" s="117"/>
      <c r="D126" s="118"/>
      <c r="E126" s="119"/>
      <c r="F126" s="120"/>
    </row>
    <row r="127" spans="1:13" x14ac:dyDescent="0.25">
      <c r="A127" s="117"/>
      <c r="D127" s="118"/>
      <c r="E127" s="119"/>
      <c r="F127" s="120"/>
    </row>
    <row r="128" spans="1:13" x14ac:dyDescent="0.25">
      <c r="A128" s="117"/>
      <c r="D128" s="118"/>
      <c r="E128" s="119"/>
      <c r="F128" s="120"/>
    </row>
    <row r="129" spans="1:13" x14ac:dyDescent="0.25">
      <c r="A129" s="117"/>
      <c r="D129" s="118"/>
      <c r="E129" s="119"/>
      <c r="F129" s="120"/>
    </row>
    <row r="130" spans="1:13" x14ac:dyDescent="0.25">
      <c r="A130" s="117"/>
      <c r="D130" s="118"/>
      <c r="E130" s="119"/>
      <c r="F130" s="120"/>
    </row>
    <row r="131" spans="1:13" x14ac:dyDescent="0.25">
      <c r="A131" s="117"/>
      <c r="D131" s="118"/>
      <c r="E131" s="119"/>
      <c r="F131" s="120"/>
    </row>
    <row r="132" spans="1:13" x14ac:dyDescent="0.25">
      <c r="A132" s="117"/>
      <c r="D132" s="118"/>
      <c r="E132" s="119"/>
      <c r="F132" s="120"/>
    </row>
    <row r="133" spans="1:13" x14ac:dyDescent="0.25">
      <c r="A133" s="117"/>
      <c r="D133" s="118"/>
      <c r="E133" s="119"/>
      <c r="F133" s="120"/>
    </row>
    <row r="134" spans="1:13" x14ac:dyDescent="0.25">
      <c r="A134" s="117"/>
      <c r="D134" s="118"/>
      <c r="E134" s="119"/>
      <c r="F134" s="120"/>
    </row>
    <row r="135" spans="1:13" x14ac:dyDescent="0.25">
      <c r="A135" s="117"/>
      <c r="D135" s="118"/>
      <c r="E135" s="119"/>
      <c r="F135" s="120"/>
    </row>
    <row r="136" spans="1:13" ht="15.75" thickBot="1" x14ac:dyDescent="0.3">
      <c r="A136" s="121" t="s">
        <v>240</v>
      </c>
      <c r="D136" s="118"/>
      <c r="E136" s="119"/>
      <c r="F136" s="120"/>
    </row>
    <row r="137" spans="1:13" ht="16.5" thickBot="1" x14ac:dyDescent="0.3">
      <c r="A137" s="215" t="s">
        <v>211</v>
      </c>
      <c r="B137" s="217" t="s">
        <v>235</v>
      </c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8"/>
    </row>
    <row r="138" spans="1:13" ht="30.75" thickBot="1" x14ac:dyDescent="0.3">
      <c r="A138" s="216"/>
      <c r="B138" s="122" t="s">
        <v>212</v>
      </c>
      <c r="C138" s="122" t="s">
        <v>213</v>
      </c>
      <c r="D138" s="122" t="s">
        <v>214</v>
      </c>
      <c r="E138" s="122" t="s">
        <v>215</v>
      </c>
      <c r="F138" s="122" t="s">
        <v>216</v>
      </c>
      <c r="G138" s="122" t="s">
        <v>217</v>
      </c>
      <c r="H138" s="122" t="s">
        <v>218</v>
      </c>
      <c r="I138" s="122" t="s">
        <v>219</v>
      </c>
      <c r="J138" s="122" t="s">
        <v>220</v>
      </c>
      <c r="K138" s="122" t="s">
        <v>221</v>
      </c>
      <c r="L138" s="122" t="s">
        <v>222</v>
      </c>
      <c r="M138" s="122" t="s">
        <v>223</v>
      </c>
    </row>
    <row r="139" spans="1:13" ht="16.5" thickBot="1" x14ac:dyDescent="0.3">
      <c r="A139" s="123" t="s">
        <v>231</v>
      </c>
      <c r="B139" s="124">
        <f>B57</f>
        <v>762</v>
      </c>
      <c r="C139" s="124">
        <f t="shared" ref="C139:E139" si="75">C57</f>
        <v>1197</v>
      </c>
      <c r="D139" s="124">
        <f t="shared" si="75"/>
        <v>1455</v>
      </c>
      <c r="E139" s="124">
        <f t="shared" si="75"/>
        <v>2307</v>
      </c>
      <c r="F139" s="124">
        <f>G57</f>
        <v>2399.2800000000002</v>
      </c>
      <c r="G139" s="124">
        <f t="shared" ref="G139:I139" si="76">H57</f>
        <v>2399.2800000000002</v>
      </c>
      <c r="H139" s="124">
        <f t="shared" si="76"/>
        <v>2399.2800000000002</v>
      </c>
      <c r="I139" s="124">
        <f t="shared" si="76"/>
        <v>2399.2800000000002</v>
      </c>
      <c r="J139" s="124">
        <f>L57</f>
        <v>2495.2512000000002</v>
      </c>
      <c r="K139" s="124">
        <f t="shared" ref="K139:M139" si="77">M57</f>
        <v>2495.2512000000002</v>
      </c>
      <c r="L139" s="124">
        <f t="shared" si="77"/>
        <v>2495.2512000000002</v>
      </c>
      <c r="M139" s="124">
        <f t="shared" si="77"/>
        <v>2495.2512000000002</v>
      </c>
    </row>
    <row r="140" spans="1:13" ht="16.5" thickBot="1" x14ac:dyDescent="0.3">
      <c r="A140" s="123" t="s">
        <v>232</v>
      </c>
      <c r="B140" s="125">
        <f>B68</f>
        <v>-20.883012232041665</v>
      </c>
      <c r="C140" s="125">
        <f t="shared" ref="C140:E140" si="78">C68</f>
        <v>-38.203205565374958</v>
      </c>
      <c r="D140" s="125">
        <f t="shared" si="78"/>
        <v>147.76734776795837</v>
      </c>
      <c r="E140" s="125">
        <f t="shared" si="78"/>
        <v>704.53542776795837</v>
      </c>
      <c r="F140" s="125">
        <f>G68</f>
        <v>486.88905998527082</v>
      </c>
      <c r="G140" s="125">
        <f t="shared" ref="G140:I140" si="79">H68</f>
        <v>489.06272998527072</v>
      </c>
      <c r="H140" s="125">
        <f t="shared" si="79"/>
        <v>491.29117998527079</v>
      </c>
      <c r="I140" s="125">
        <f t="shared" si="79"/>
        <v>493.57580998527089</v>
      </c>
      <c r="J140" s="125">
        <f>L68</f>
        <v>-96.404419580104815</v>
      </c>
      <c r="K140" s="125">
        <f t="shared" ref="K140:M140" si="80">M68</f>
        <v>-129.55763224677096</v>
      </c>
      <c r="L140" s="125">
        <f t="shared" si="80"/>
        <v>-35.98971558010453</v>
      </c>
      <c r="M140" s="125">
        <f t="shared" si="80"/>
        <v>-8.4658555801042894</v>
      </c>
    </row>
    <row r="141" spans="1:13" ht="32.25" thickBot="1" x14ac:dyDescent="0.3">
      <c r="A141" s="123" t="s">
        <v>224</v>
      </c>
      <c r="B141" s="125">
        <f t="shared" ref="B141:M141" si="81">SUM(B142:B148)</f>
        <v>151.19999999999999</v>
      </c>
      <c r="C141" s="125">
        <f t="shared" si="81"/>
        <v>337.5</v>
      </c>
      <c r="D141" s="125">
        <f t="shared" si="81"/>
        <v>352.98</v>
      </c>
      <c r="E141" s="125">
        <f t="shared" si="81"/>
        <v>442.97999999999996</v>
      </c>
      <c r="F141" s="125">
        <f t="shared" si="81"/>
        <v>535.47839999999997</v>
      </c>
      <c r="G141" s="125">
        <f t="shared" si="81"/>
        <v>535.47839999999997</v>
      </c>
      <c r="H141" s="125">
        <f t="shared" si="81"/>
        <v>535.47839999999997</v>
      </c>
      <c r="I141" s="125">
        <f t="shared" si="81"/>
        <v>535.47839999999997</v>
      </c>
      <c r="J141" s="125">
        <f t="shared" si="81"/>
        <v>761.31302400000004</v>
      </c>
      <c r="K141" s="125">
        <f t="shared" si="81"/>
        <v>775.87488000000008</v>
      </c>
      <c r="L141" s="125">
        <f t="shared" si="81"/>
        <v>655.28352000000007</v>
      </c>
      <c r="M141" s="125">
        <f t="shared" si="81"/>
        <v>655.28352000000007</v>
      </c>
    </row>
    <row r="142" spans="1:13" s="128" customFormat="1" ht="12.75" x14ac:dyDescent="0.2">
      <c r="A142" s="126" t="s">
        <v>106</v>
      </c>
      <c r="B142" s="127">
        <f>B67</f>
        <v>0</v>
      </c>
      <c r="C142" s="127">
        <f t="shared" ref="C142:D142" si="82">C67</f>
        <v>71.819999999999993</v>
      </c>
      <c r="D142" s="127">
        <f t="shared" si="82"/>
        <v>87.3</v>
      </c>
      <c r="E142" s="127">
        <f>E67</f>
        <v>138.41999999999999</v>
      </c>
      <c r="F142" s="127">
        <f>G67</f>
        <v>143.95680000000002</v>
      </c>
      <c r="G142" s="127">
        <f t="shared" ref="G142:I142" si="83">H67</f>
        <v>143.95680000000002</v>
      </c>
      <c r="H142" s="127">
        <f t="shared" si="83"/>
        <v>143.95680000000002</v>
      </c>
      <c r="I142" s="127">
        <f t="shared" si="83"/>
        <v>143.95680000000002</v>
      </c>
      <c r="J142" s="127">
        <f>L67</f>
        <v>149.71507199999999</v>
      </c>
      <c r="K142" s="127">
        <f t="shared" ref="K142:M142" si="84">M67</f>
        <v>149.71507199999999</v>
      </c>
      <c r="L142" s="127">
        <f t="shared" si="84"/>
        <v>0</v>
      </c>
      <c r="M142" s="127">
        <f t="shared" si="84"/>
        <v>0</v>
      </c>
    </row>
    <row r="143" spans="1:13" s="128" customFormat="1" ht="12.75" x14ac:dyDescent="0.2">
      <c r="A143" s="129" t="s">
        <v>234</v>
      </c>
      <c r="B143" s="130">
        <f>B60*0.13</f>
        <v>45.5</v>
      </c>
      <c r="C143" s="130">
        <f t="shared" ref="C143:E143" si="85">C60*0.13</f>
        <v>79.95</v>
      </c>
      <c r="D143" s="130">
        <f t="shared" si="85"/>
        <v>79.95</v>
      </c>
      <c r="E143" s="130">
        <f t="shared" si="85"/>
        <v>91.65</v>
      </c>
      <c r="F143" s="130">
        <f>G60*0.13</f>
        <v>117.819</v>
      </c>
      <c r="G143" s="130">
        <f t="shared" ref="G143:I143" si="86">H60*0.13</f>
        <v>117.819</v>
      </c>
      <c r="H143" s="130">
        <f t="shared" si="86"/>
        <v>117.819</v>
      </c>
      <c r="I143" s="130">
        <f t="shared" si="86"/>
        <v>117.819</v>
      </c>
      <c r="J143" s="130">
        <f>L60*0.13</f>
        <v>184.04568000000006</v>
      </c>
      <c r="K143" s="130">
        <f t="shared" ref="K143:M143" si="87">M60*0.13</f>
        <v>188.42772000000002</v>
      </c>
      <c r="L143" s="130">
        <f t="shared" si="87"/>
        <v>197.19180000000003</v>
      </c>
      <c r="M143" s="130">
        <f t="shared" si="87"/>
        <v>197.19180000000003</v>
      </c>
    </row>
    <row r="144" spans="1:13" s="128" customFormat="1" ht="12.75" x14ac:dyDescent="0.2">
      <c r="A144" s="129" t="s">
        <v>225</v>
      </c>
      <c r="B144" s="130">
        <f>IF((B51-B26-B30-B33-B35-B36-B37-B38-B39)&gt;0,IF('Данные Заявителя'!$B$8='Данные Заявителя'!$A$95,(B51-B26-B30-B33-B35-B36-B37-B38-B39)*20%/120%/1000,0),0)</f>
        <v>0</v>
      </c>
      <c r="C144" s="130">
        <f>IF((C51-C26-C30-C33-C35-C36-C37-C38-C39)&gt;0,IF('Данные Заявителя'!$B$8='Данные Заявителя'!$A$95,(C51-C26-C30-C33-C35-C36-C37-C38-C39)*20%/120%/1000,0),0)</f>
        <v>0</v>
      </c>
      <c r="D144" s="130">
        <f>IF((D51-D26-D30-D33-D35-D36-D37-D38-D39)&gt;0,IF('Данные Заявителя'!$B$8='Данные Заявителя'!$A$95,(D51-D26-D30-D33-D35-D36-D37-D38-D39)*20%/120%/1000,0),0)</f>
        <v>0</v>
      </c>
      <c r="E144" s="130">
        <f>IF((E51-E26-E30-E33-E35-E36-E37-E38-E39)&gt;0,IF('Данные Заявителя'!$B$8='Данные Заявителя'!$A$95,(E51-E26-E30-E33-E35-E36-E37-E38-E39)*20%/120%/1000,0),0)</f>
        <v>0</v>
      </c>
      <c r="F144" s="130">
        <f>IF((G51-G26-G30-G33-G35-G36-G37-G38-G39)&gt;0,IF('Данные Заявителя'!$B$8='Данные Заявителя'!$A$95,(G51-G26-G30-G33-G35-G36-G37-G38-G39)*20%/120%/1000,0),0)</f>
        <v>0</v>
      </c>
      <c r="G144" s="130">
        <f>IF((H51-H26-H30-H33-H35-H36-H37-H38-H39)&gt;0,IF('Данные Заявителя'!$B$8='Данные Заявителя'!$A$95,(H51-H26-H30-H33-H35-H36-H37-H38-H39)*20%/120%/1000,0),0)</f>
        <v>0</v>
      </c>
      <c r="H144" s="130">
        <f>IF((I51-I26-I30-I33-I35-I36-I37-I38-I39)&gt;0,IF('Данные Заявителя'!$B$8='Данные Заявителя'!$A$95,(I51-I26-I30-I33-I35-I36-I37-I38-I39)*20%/120%/1000,0),0)</f>
        <v>0</v>
      </c>
      <c r="I144" s="130">
        <f>IF((J51-J26-J30-J33-J35-J36-J37-J38-J39)&gt;0,IF('Данные Заявителя'!$B$8='Данные Заявителя'!$A$95,(J51-J26-J30-J33-J35-J36-J37-J38-J39)*20%/120%/1000,0),0)</f>
        <v>0</v>
      </c>
      <c r="J144" s="130">
        <f>IF((L51-L26-L30-L33-L35-L36-L37-L38-L39)&gt;0,IF('Данные Заявителя'!$B$8='Данные Заявителя'!$A$95,(L51-L26-L30-L33-L35-L36-L37-L38-L39)*20%/120%/1000,0),0)</f>
        <v>0</v>
      </c>
      <c r="K144" s="130">
        <f>IF((M51-M26-M30-M33-M35-M36-M37-M38-M39)&gt;0,IF('Данные Заявителя'!$B$8='Данные Заявителя'!$A$95,(M51-M26-M30-M33-M35-M36-M37-M38-M39)*20%/120%/1000,0),0)</f>
        <v>0</v>
      </c>
      <c r="L144" s="130">
        <f>IF((N51-N26-N30-N33-N35-N36-N37-N38-N39)&gt;0,IF('Данные Заявителя'!$B$8='Данные Заявителя'!$A$95,(N51-N26-N30-N33-N35-N36-N37-N38-N39)*20%/120%/1000,0),0)</f>
        <v>0</v>
      </c>
      <c r="M144" s="130">
        <f>IF((O51-O26-O30-O33-O35-O36-O37-O38-O39)&gt;0,IF('Данные Заявителя'!$B$8='Данные Заявителя'!$A$95,(O51-O26-O30-O33-O35-O36-O37-O38-O39)*20%/120%/1000,0),0)</f>
        <v>0</v>
      </c>
    </row>
    <row r="145" spans="1:13" s="128" customFormat="1" ht="12.75" x14ac:dyDescent="0.2">
      <c r="A145" s="131" t="s">
        <v>294</v>
      </c>
      <c r="B145" s="130">
        <f>'Данные Заявителя'!$B$108*B60</f>
        <v>77</v>
      </c>
      <c r="C145" s="130">
        <f>'Данные Заявителя'!$B$108*C60</f>
        <v>135.30000000000001</v>
      </c>
      <c r="D145" s="130">
        <f>'Данные Заявителя'!$B$108*D60</f>
        <v>135.30000000000001</v>
      </c>
      <c r="E145" s="130">
        <f>'Данные Заявителя'!$B$108*E60</f>
        <v>155.1</v>
      </c>
      <c r="F145" s="130">
        <f>'Данные Заявителя'!$B$108*G60</f>
        <v>199.386</v>
      </c>
      <c r="G145" s="130">
        <f>'Данные Заявителя'!$B$108*H60</f>
        <v>199.386</v>
      </c>
      <c r="H145" s="130">
        <f>'Данные Заявителя'!$B$108*I60</f>
        <v>199.386</v>
      </c>
      <c r="I145" s="130">
        <f>'Данные Заявителя'!$B$108*J60</f>
        <v>199.386</v>
      </c>
      <c r="J145" s="130">
        <f>'Данные Заявителя'!$B$108*L60</f>
        <v>311.46192000000008</v>
      </c>
      <c r="K145" s="130">
        <f>'Данные Заявителя'!$B$108*M60</f>
        <v>318.87768000000005</v>
      </c>
      <c r="L145" s="130">
        <f>'Данные Заявителя'!$B$108*N60</f>
        <v>333.70920000000001</v>
      </c>
      <c r="M145" s="130">
        <f>'Данные Заявителя'!$B$108*O60</f>
        <v>333.70920000000001</v>
      </c>
    </row>
    <row r="146" spans="1:13" s="128" customFormat="1" ht="12.75" x14ac:dyDescent="0.2">
      <c r="A146" s="131" t="s">
        <v>226</v>
      </c>
      <c r="B146" s="130">
        <f>'Данные Заявителя'!$B$109*B60</f>
        <v>17.849999999999998</v>
      </c>
      <c r="C146" s="130">
        <f>'Данные Заявителя'!$B$109*C60</f>
        <v>31.364999999999998</v>
      </c>
      <c r="D146" s="130">
        <f>'Данные Заявителя'!$B$109*D60</f>
        <v>31.364999999999998</v>
      </c>
      <c r="E146" s="130">
        <f>'Данные Заявителя'!$B$109*E60</f>
        <v>35.954999999999998</v>
      </c>
      <c r="F146" s="130">
        <f>'Данные Заявителя'!$B$109*G60</f>
        <v>46.221299999999992</v>
      </c>
      <c r="G146" s="130">
        <f>'Данные Заявителя'!$B$109*H60</f>
        <v>46.221299999999992</v>
      </c>
      <c r="H146" s="130">
        <f>'Данные Заявителя'!$B$109*I60</f>
        <v>46.221299999999992</v>
      </c>
      <c r="I146" s="130">
        <f>'Данные Заявителя'!$B$109*J60</f>
        <v>46.221299999999992</v>
      </c>
      <c r="J146" s="130">
        <f>'Данные Заявителя'!$B$109*L60</f>
        <v>72.202536000000009</v>
      </c>
      <c r="K146" s="130">
        <f>'Данные Заявителя'!$B$109*M60</f>
        <v>73.921644000000001</v>
      </c>
      <c r="L146" s="130">
        <f>'Данные Заявителя'!$B$109*N60</f>
        <v>77.359859999999998</v>
      </c>
      <c r="M146" s="130">
        <f>'Данные Заявителя'!$B$109*O60</f>
        <v>77.359859999999998</v>
      </c>
    </row>
    <row r="147" spans="1:13" s="128" customFormat="1" ht="12.75" x14ac:dyDescent="0.2">
      <c r="A147" s="131" t="s">
        <v>227</v>
      </c>
      <c r="B147" s="130">
        <f>'Данные Заявителя'!$B$110*B60</f>
        <v>10.15</v>
      </c>
      <c r="C147" s="130">
        <f>'Данные Заявителя'!$B$110*C60</f>
        <v>17.835000000000001</v>
      </c>
      <c r="D147" s="130">
        <f>'Данные Заявителя'!$B$110*D60</f>
        <v>17.835000000000001</v>
      </c>
      <c r="E147" s="130">
        <f>'Данные Заявителя'!$B$110*E60</f>
        <v>20.445</v>
      </c>
      <c r="F147" s="130">
        <f>'Данные Заявителя'!$B$110*G60</f>
        <v>26.282699999999998</v>
      </c>
      <c r="G147" s="130">
        <f>'Данные Заявителя'!$B$110*H60</f>
        <v>26.282699999999998</v>
      </c>
      <c r="H147" s="130">
        <f>'Данные Заявителя'!$B$110*I60</f>
        <v>26.282699999999998</v>
      </c>
      <c r="I147" s="130">
        <f>'Данные Заявителя'!$B$110*J60</f>
        <v>26.282699999999998</v>
      </c>
      <c r="J147" s="130">
        <f>'Данные Заявителя'!$B$110*L60</f>
        <v>41.05634400000001</v>
      </c>
      <c r="K147" s="130">
        <f>'Данные Заявителя'!$B$110*M60</f>
        <v>42.033876000000006</v>
      </c>
      <c r="L147" s="130">
        <f>'Данные Заявителя'!$B$110*N60</f>
        <v>43.988940000000007</v>
      </c>
      <c r="M147" s="130">
        <f>'Данные Заявителя'!$B$110*O60</f>
        <v>43.988940000000007</v>
      </c>
    </row>
    <row r="148" spans="1:13" s="128" customFormat="1" ht="26.25" thickBot="1" x14ac:dyDescent="0.25">
      <c r="A148" s="132" t="s">
        <v>228</v>
      </c>
      <c r="B148" s="133">
        <f>'Данные Заявителя'!$B$111*B60</f>
        <v>0.70000000000000007</v>
      </c>
      <c r="C148" s="133">
        <f>'Данные Заявителя'!$B$111*C60</f>
        <v>1.23</v>
      </c>
      <c r="D148" s="133">
        <f>'Данные Заявителя'!$B$111*D60</f>
        <v>1.23</v>
      </c>
      <c r="E148" s="133">
        <f>'Данные Заявителя'!$B$111*E60</f>
        <v>1.41</v>
      </c>
      <c r="F148" s="133">
        <f>'Данные Заявителя'!$B$111*G60</f>
        <v>1.8126</v>
      </c>
      <c r="G148" s="133">
        <f>'Данные Заявителя'!$B$111*H60</f>
        <v>1.8126</v>
      </c>
      <c r="H148" s="133">
        <f>'Данные Заявителя'!$B$111*I60</f>
        <v>1.8126</v>
      </c>
      <c r="I148" s="133">
        <f>'Данные Заявителя'!$B$111*J60</f>
        <v>1.8126</v>
      </c>
      <c r="J148" s="133">
        <f>'Данные Заявителя'!$B$111*L60</f>
        <v>2.8314720000000007</v>
      </c>
      <c r="K148" s="133">
        <f>'Данные Заявителя'!$B$111*M60</f>
        <v>2.8988880000000004</v>
      </c>
      <c r="L148" s="133">
        <f>'Данные Заявителя'!$B$111*N60</f>
        <v>3.0337200000000002</v>
      </c>
      <c r="M148" s="133">
        <f>'Данные Заявителя'!$B$111*O60</f>
        <v>3.0337200000000002</v>
      </c>
    </row>
    <row r="149" spans="1:13" ht="16.5" thickBot="1" x14ac:dyDescent="0.3">
      <c r="A149" s="134" t="s">
        <v>230</v>
      </c>
      <c r="B149" s="135">
        <f>SUM('Данные Заявителя'!E48:E53)</f>
        <v>5</v>
      </c>
      <c r="C149" s="135">
        <f>SUM('Данные Заявителя'!H48:H53)</f>
        <v>6</v>
      </c>
      <c r="D149" s="135">
        <f>SUM('Данные Заявителя'!K48:K53)</f>
        <v>6</v>
      </c>
      <c r="E149" s="135">
        <f>SUM('Данные Заявителя'!N48:N53)</f>
        <v>7</v>
      </c>
      <c r="F149" s="135">
        <f>SUM('Данные Заявителя'!Q48:Q53)</f>
        <v>9</v>
      </c>
      <c r="G149" s="135">
        <f>SUM('Данные Заявителя'!T48:T53)</f>
        <v>9</v>
      </c>
      <c r="H149" s="135">
        <f>SUM('Данные Заявителя'!W48:W53)</f>
        <v>9</v>
      </c>
      <c r="I149" s="135">
        <f>SUM('Данные Заявителя'!Z48:Z53)</f>
        <v>9</v>
      </c>
      <c r="J149" s="135">
        <f>SUM('Данные Заявителя'!AC48:AC53)</f>
        <v>14</v>
      </c>
      <c r="K149" s="135">
        <f>SUM('Данные Заявителя'!AF48:AF53)</f>
        <v>15</v>
      </c>
      <c r="L149" s="135">
        <f>SUM('Данные Заявителя'!AI48:AI53)</f>
        <v>15</v>
      </c>
      <c r="M149" s="135">
        <f>SUM('Данные Заявителя'!AL48:AL53)</f>
        <v>15</v>
      </c>
    </row>
    <row r="150" spans="1:13" ht="32.25" thickBot="1" x14ac:dyDescent="0.3">
      <c r="A150" s="123" t="s">
        <v>229</v>
      </c>
      <c r="B150" s="125">
        <f>B60/SUM('Данные Заявителя'!C48:E53)</f>
        <v>38.888888888888886</v>
      </c>
      <c r="C150" s="125">
        <f>C60/SUM('Данные Заявителя'!F48:H53)</f>
        <v>34.166666666666664</v>
      </c>
      <c r="D150" s="125">
        <f>D60/SUM('Данные Заявителя'!I48:K53)</f>
        <v>34.166666666666664</v>
      </c>
      <c r="E150" s="125">
        <f>E60/SUM('Данные Заявителя'!L48:N53)</f>
        <v>33.571428571428569</v>
      </c>
      <c r="F150" s="125">
        <f>G60/SUM('Данные Заявителя'!O48:Q53)</f>
        <v>33.566666666666663</v>
      </c>
      <c r="G150" s="125">
        <f>H60/SUM('Данные Заявителя'!R48:T53)</f>
        <v>33.566666666666663</v>
      </c>
      <c r="H150" s="125">
        <f>I60/SUM('Данные Заявителя'!U48:W53)</f>
        <v>33.566666666666663</v>
      </c>
      <c r="I150" s="125">
        <f>J60/SUM('Данные Заявителя'!X48:Z53)</f>
        <v>33.566666666666663</v>
      </c>
      <c r="J150" s="125">
        <f>L60/SUM('Данные Заявителя'!AA48:AC53)</f>
        <v>33.708000000000006</v>
      </c>
      <c r="K150" s="125">
        <f>M60/SUM('Данные Заявителя'!AD48:AF53)</f>
        <v>33.708000000000006</v>
      </c>
      <c r="L150" s="125">
        <f>N60/SUM('Данные Заявителя'!AG48:AI53)</f>
        <v>33.708000000000006</v>
      </c>
      <c r="M150" s="125">
        <f>O60/SUM('Данные Заявителя'!AJ48:AL53)</f>
        <v>33.708000000000006</v>
      </c>
    </row>
    <row r="151" spans="1:13" ht="48" thickBot="1" x14ac:dyDescent="0.3">
      <c r="A151" s="123" t="s">
        <v>233</v>
      </c>
      <c r="B151" s="124">
        <f>SUM('Данные Заявителя'!C71:E74)/1000</f>
        <v>3000</v>
      </c>
      <c r="C151" s="124">
        <f>SUM('Данные Заявителя'!F71:H74)/1000+B151</f>
        <v>3200</v>
      </c>
      <c r="D151" s="124">
        <f>SUM('Данные Заявителя'!I71:K74)/1000+C151</f>
        <v>3500</v>
      </c>
      <c r="E151" s="124">
        <f>SUM('Данные Заявителя'!L71:N74)/1000+D151</f>
        <v>3500</v>
      </c>
      <c r="F151" s="124">
        <f>SUM('Данные Заявителя'!O71:Q74)/1000+E151</f>
        <v>3500</v>
      </c>
      <c r="G151" s="124">
        <f>SUM('Данные Заявителя'!R71:T74)/1000+F151</f>
        <v>3500</v>
      </c>
      <c r="H151" s="124">
        <f>SUM('Данные Заявителя'!U71:W74)/1000+G151</f>
        <v>3500</v>
      </c>
      <c r="I151" s="124">
        <f>SUM('Данные Заявителя'!X71:Z74)/1000+H151</f>
        <v>3500</v>
      </c>
      <c r="J151" s="124">
        <f>SUM('Данные Заявителя'!AA71:AC74)/1000+I151</f>
        <v>3500</v>
      </c>
      <c r="K151" s="124">
        <f>SUM('Данные Заявителя'!AD71:AF74)/1000+J151</f>
        <v>3500</v>
      </c>
      <c r="L151" s="124">
        <f>SUM('Данные Заявителя'!AG71:AI74)/1000+K151</f>
        <v>3500</v>
      </c>
      <c r="M151" s="124">
        <f>SUM('Данные Заявителя'!AJ71:AL74)/1000+L151</f>
        <v>3500</v>
      </c>
    </row>
    <row r="152" spans="1:13" x14ac:dyDescent="0.25">
      <c r="A152" s="117"/>
      <c r="D152" s="118"/>
      <c r="E152" s="119"/>
      <c r="F152" s="120"/>
    </row>
    <row r="153" spans="1:13" x14ac:dyDescent="0.25">
      <c r="A153" s="117"/>
      <c r="D153" s="118"/>
      <c r="E153" s="119"/>
      <c r="F153" s="120"/>
    </row>
    <row r="154" spans="1:13" x14ac:dyDescent="0.25">
      <c r="A154" s="117"/>
      <c r="B154" s="119"/>
      <c r="D154" s="118"/>
      <c r="E154" s="119"/>
      <c r="F154" s="120"/>
    </row>
    <row r="155" spans="1:13" x14ac:dyDescent="0.25">
      <c r="A155" s="117"/>
      <c r="B155" s="119"/>
      <c r="D155" s="118"/>
      <c r="E155" s="119"/>
      <c r="F155" s="120"/>
    </row>
    <row r="156" spans="1:13" x14ac:dyDescent="0.25">
      <c r="A156" s="117"/>
      <c r="D156" s="118"/>
      <c r="E156" s="119"/>
      <c r="F156" s="120"/>
    </row>
    <row r="157" spans="1:13" x14ac:dyDescent="0.25">
      <c r="A157" s="117"/>
      <c r="D157" s="118"/>
      <c r="E157" s="119"/>
      <c r="F157" s="136"/>
    </row>
    <row r="158" spans="1:13" x14ac:dyDescent="0.25">
      <c r="A158" s="117"/>
      <c r="D158" s="118"/>
      <c r="E158" s="119"/>
      <c r="F158" s="120"/>
    </row>
    <row r="159" spans="1:13" x14ac:dyDescent="0.25">
      <c r="A159" s="117"/>
      <c r="D159" s="118"/>
      <c r="E159" s="119"/>
      <c r="F159" s="120"/>
    </row>
    <row r="160" spans="1:13" x14ac:dyDescent="0.25">
      <c r="A160" s="117"/>
      <c r="D160" s="118"/>
      <c r="E160" s="119"/>
      <c r="F160" s="120"/>
    </row>
    <row r="161" spans="1:6" x14ac:dyDescent="0.25">
      <c r="A161" s="117"/>
      <c r="D161" s="118"/>
      <c r="E161" s="119"/>
      <c r="F161" s="120"/>
    </row>
    <row r="162" spans="1:6" x14ac:dyDescent="0.25">
      <c r="A162" s="117"/>
      <c r="D162" s="118"/>
      <c r="E162" s="119"/>
      <c r="F162" s="120"/>
    </row>
    <row r="163" spans="1:6" x14ac:dyDescent="0.25">
      <c r="A163" s="117"/>
      <c r="D163" s="118"/>
      <c r="E163" s="119"/>
      <c r="F163" s="120"/>
    </row>
    <row r="164" spans="1:6" x14ac:dyDescent="0.25">
      <c r="A164" s="117"/>
      <c r="D164" s="118"/>
      <c r="E164" s="119"/>
      <c r="F164" s="120"/>
    </row>
    <row r="165" spans="1:6" x14ac:dyDescent="0.25">
      <c r="A165" s="117"/>
      <c r="D165" s="118"/>
      <c r="E165" s="119"/>
      <c r="F165" s="120"/>
    </row>
    <row r="166" spans="1:6" x14ac:dyDescent="0.25">
      <c r="A166" s="117"/>
      <c r="D166" s="118"/>
      <c r="E166" s="119"/>
      <c r="F166" s="120"/>
    </row>
    <row r="167" spans="1:6" x14ac:dyDescent="0.25">
      <c r="A167" s="117"/>
      <c r="D167" s="118"/>
      <c r="E167" s="119"/>
      <c r="F167" s="120"/>
    </row>
    <row r="168" spans="1:6" x14ac:dyDescent="0.25">
      <c r="A168" s="117"/>
      <c r="D168" s="118"/>
      <c r="E168" s="119"/>
      <c r="F168" s="120"/>
    </row>
    <row r="169" spans="1:6" x14ac:dyDescent="0.25">
      <c r="A169" s="117"/>
      <c r="D169" s="118"/>
      <c r="E169" s="119"/>
      <c r="F169" s="120"/>
    </row>
    <row r="170" spans="1:6" x14ac:dyDescent="0.25">
      <c r="A170" s="117"/>
      <c r="D170" s="118"/>
      <c r="E170" s="119"/>
      <c r="F170" s="120"/>
    </row>
    <row r="171" spans="1:6" x14ac:dyDescent="0.25">
      <c r="A171" s="117"/>
      <c r="D171" s="118"/>
      <c r="E171" s="119"/>
      <c r="F171" s="120"/>
    </row>
    <row r="172" spans="1:6" x14ac:dyDescent="0.25">
      <c r="A172" s="117"/>
      <c r="D172" s="118"/>
      <c r="E172" s="119"/>
      <c r="F172" s="120"/>
    </row>
    <row r="173" spans="1:6" x14ac:dyDescent="0.25">
      <c r="A173" s="117"/>
      <c r="D173" s="118"/>
      <c r="E173" s="119"/>
      <c r="F173" s="120"/>
    </row>
    <row r="174" spans="1:6" x14ac:dyDescent="0.25">
      <c r="A174" s="117"/>
      <c r="D174" s="118"/>
      <c r="E174" s="119"/>
      <c r="F174" s="120"/>
    </row>
    <row r="175" spans="1:6" x14ac:dyDescent="0.25">
      <c r="A175" s="117"/>
      <c r="D175" s="118"/>
      <c r="E175" s="119"/>
      <c r="F175" s="120"/>
    </row>
    <row r="176" spans="1:6" x14ac:dyDescent="0.25">
      <c r="A176" s="117"/>
      <c r="D176" s="118"/>
      <c r="E176" s="119"/>
      <c r="F176" s="120"/>
    </row>
    <row r="177" spans="1:6" x14ac:dyDescent="0.25">
      <c r="A177" s="117"/>
      <c r="D177" s="118"/>
      <c r="E177" s="119"/>
      <c r="F177" s="120"/>
    </row>
    <row r="178" spans="1:6" x14ac:dyDescent="0.25">
      <c r="A178" s="117"/>
      <c r="D178" s="118"/>
      <c r="E178" s="119"/>
      <c r="F178" s="120"/>
    </row>
    <row r="179" spans="1:6" x14ac:dyDescent="0.25">
      <c r="A179" s="117"/>
      <c r="D179" s="118"/>
      <c r="E179" s="119"/>
      <c r="F179" s="120"/>
    </row>
    <row r="180" spans="1:6" x14ac:dyDescent="0.25">
      <c r="A180" s="117"/>
      <c r="D180" s="118"/>
      <c r="E180" s="119"/>
      <c r="F180" s="120"/>
    </row>
    <row r="181" spans="1:6" x14ac:dyDescent="0.25">
      <c r="A181" s="117"/>
      <c r="D181" s="118"/>
      <c r="E181" s="119"/>
      <c r="F181" s="120"/>
    </row>
    <row r="182" spans="1:6" x14ac:dyDescent="0.25">
      <c r="A182" s="117"/>
      <c r="D182" s="118"/>
      <c r="E182" s="119"/>
      <c r="F182" s="120"/>
    </row>
    <row r="183" spans="1:6" x14ac:dyDescent="0.25">
      <c r="A183" s="117"/>
      <c r="D183" s="118"/>
      <c r="E183" s="119"/>
      <c r="F183" s="120"/>
    </row>
    <row r="184" spans="1:6" x14ac:dyDescent="0.25">
      <c r="A184" s="117"/>
      <c r="D184" s="118"/>
      <c r="E184" s="119"/>
      <c r="F184" s="120"/>
    </row>
    <row r="185" spans="1:6" x14ac:dyDescent="0.25">
      <c r="A185" s="117"/>
      <c r="D185" s="118"/>
      <c r="E185" s="119"/>
      <c r="F185" s="120"/>
    </row>
    <row r="186" spans="1:6" x14ac:dyDescent="0.25">
      <c r="A186" s="117"/>
      <c r="D186" s="118"/>
      <c r="E186" s="119"/>
      <c r="F186" s="120"/>
    </row>
    <row r="187" spans="1:6" x14ac:dyDescent="0.25">
      <c r="A187" s="117"/>
      <c r="D187" s="118"/>
      <c r="E187" s="119"/>
      <c r="F187" s="120"/>
    </row>
    <row r="188" spans="1:6" x14ac:dyDescent="0.25">
      <c r="A188" s="117"/>
      <c r="D188" s="118"/>
      <c r="E188" s="119"/>
      <c r="F188" s="120"/>
    </row>
    <row r="189" spans="1:6" x14ac:dyDescent="0.25">
      <c r="A189" s="117"/>
      <c r="D189" s="118"/>
      <c r="E189" s="119"/>
      <c r="F189" s="120"/>
    </row>
    <row r="190" spans="1:6" x14ac:dyDescent="0.25">
      <c r="A190" s="117"/>
      <c r="D190" s="118"/>
      <c r="E190" s="119"/>
      <c r="F190" s="120"/>
    </row>
    <row r="191" spans="1:6" x14ac:dyDescent="0.25">
      <c r="A191" s="117"/>
      <c r="D191" s="118"/>
      <c r="E191" s="119"/>
      <c r="F191" s="120"/>
    </row>
    <row r="192" spans="1:6" x14ac:dyDescent="0.25">
      <c r="A192" s="117"/>
      <c r="D192" s="118"/>
      <c r="E192" s="119"/>
      <c r="F192" s="120"/>
    </row>
    <row r="193" spans="1:6" x14ac:dyDescent="0.25">
      <c r="A193" s="117"/>
      <c r="D193" s="118"/>
      <c r="E193" s="119"/>
      <c r="F193" s="120"/>
    </row>
    <row r="194" spans="1:6" x14ac:dyDescent="0.25">
      <c r="A194" s="117"/>
      <c r="D194" s="118"/>
      <c r="E194" s="119"/>
      <c r="F194" s="120"/>
    </row>
    <row r="195" spans="1:6" x14ac:dyDescent="0.25">
      <c r="A195" s="117"/>
      <c r="D195" s="118"/>
      <c r="E195" s="119"/>
      <c r="F195" s="120"/>
    </row>
    <row r="196" spans="1:6" x14ac:dyDescent="0.25">
      <c r="A196" s="117"/>
      <c r="D196" s="118"/>
      <c r="E196" s="119"/>
      <c r="F196" s="120"/>
    </row>
    <row r="197" spans="1:6" x14ac:dyDescent="0.25">
      <c r="A197" s="117"/>
      <c r="D197" s="118"/>
      <c r="E197" s="119"/>
      <c r="F197" s="120"/>
    </row>
    <row r="198" spans="1:6" x14ac:dyDescent="0.25">
      <c r="A198" s="117"/>
      <c r="D198" s="118"/>
      <c r="E198" s="119"/>
      <c r="F198" s="120"/>
    </row>
    <row r="199" spans="1:6" x14ac:dyDescent="0.25">
      <c r="A199" s="117"/>
      <c r="D199" s="118"/>
      <c r="E199" s="119"/>
      <c r="F199" s="120"/>
    </row>
    <row r="200" spans="1:6" x14ac:dyDescent="0.25">
      <c r="A200" s="117"/>
      <c r="D200" s="118"/>
      <c r="E200" s="119"/>
      <c r="F200" s="120"/>
    </row>
    <row r="201" spans="1:6" x14ac:dyDescent="0.25">
      <c r="A201" s="117"/>
      <c r="D201" s="118"/>
      <c r="E201" s="119"/>
      <c r="F201" s="120"/>
    </row>
    <row r="202" spans="1:6" x14ac:dyDescent="0.25">
      <c r="A202" s="117"/>
      <c r="D202" s="118"/>
      <c r="E202" s="119"/>
      <c r="F202" s="120"/>
    </row>
    <row r="203" spans="1:6" x14ac:dyDescent="0.25">
      <c r="A203" s="117"/>
      <c r="D203" s="118"/>
      <c r="E203" s="119"/>
      <c r="F203" s="120"/>
    </row>
    <row r="204" spans="1:6" x14ac:dyDescent="0.25">
      <c r="A204" s="117"/>
      <c r="D204" s="118"/>
      <c r="E204" s="119"/>
      <c r="F204" s="120"/>
    </row>
    <row r="205" spans="1:6" x14ac:dyDescent="0.25">
      <c r="A205" s="117"/>
      <c r="D205" s="118"/>
      <c r="E205" s="119"/>
      <c r="F205" s="120"/>
    </row>
    <row r="206" spans="1:6" x14ac:dyDescent="0.25">
      <c r="A206" s="117"/>
      <c r="D206" s="118"/>
      <c r="E206" s="119"/>
      <c r="F206" s="120"/>
    </row>
    <row r="207" spans="1:6" x14ac:dyDescent="0.25">
      <c r="A207" s="117"/>
      <c r="D207" s="118"/>
      <c r="E207" s="119"/>
      <c r="F207" s="120"/>
    </row>
    <row r="208" spans="1:6" x14ac:dyDescent="0.25">
      <c r="A208" s="117"/>
      <c r="D208" s="118"/>
      <c r="E208" s="119"/>
      <c r="F208" s="120"/>
    </row>
    <row r="209" spans="1:6" x14ac:dyDescent="0.25">
      <c r="A209" s="117"/>
      <c r="D209" s="118"/>
      <c r="E209" s="119"/>
      <c r="F209" s="120"/>
    </row>
    <row r="210" spans="1:6" x14ac:dyDescent="0.25">
      <c r="A210" s="117"/>
      <c r="D210" s="118"/>
      <c r="E210" s="119"/>
      <c r="F210" s="120"/>
    </row>
    <row r="211" spans="1:6" x14ac:dyDescent="0.25">
      <c r="A211" s="117"/>
      <c r="D211" s="118"/>
      <c r="E211" s="119"/>
      <c r="F211" s="120"/>
    </row>
    <row r="212" spans="1:6" x14ac:dyDescent="0.25">
      <c r="A212" s="117"/>
      <c r="D212" s="118"/>
      <c r="E212" s="119"/>
      <c r="F212" s="120"/>
    </row>
    <row r="213" spans="1:6" x14ac:dyDescent="0.25">
      <c r="A213" s="117"/>
      <c r="D213" s="118"/>
      <c r="E213" s="119"/>
      <c r="F213" s="120"/>
    </row>
    <row r="214" spans="1:6" x14ac:dyDescent="0.25">
      <c r="A214" s="117"/>
      <c r="D214" s="118"/>
      <c r="E214" s="119"/>
      <c r="F214" s="120"/>
    </row>
    <row r="215" spans="1:6" x14ac:dyDescent="0.25">
      <c r="A215" s="117"/>
      <c r="D215" s="118"/>
      <c r="E215" s="119"/>
      <c r="F215" s="120"/>
    </row>
    <row r="216" spans="1:6" x14ac:dyDescent="0.25">
      <c r="A216" s="117"/>
      <c r="D216" s="118"/>
      <c r="E216" s="119"/>
      <c r="F216" s="120"/>
    </row>
    <row r="217" spans="1:6" x14ac:dyDescent="0.25">
      <c r="A217" s="117"/>
      <c r="D217" s="118"/>
      <c r="E217" s="119"/>
      <c r="F217" s="120"/>
    </row>
    <row r="218" spans="1:6" x14ac:dyDescent="0.25">
      <c r="A218" s="117"/>
      <c r="D218" s="118"/>
      <c r="E218" s="119"/>
      <c r="F218" s="120"/>
    </row>
    <row r="219" spans="1:6" x14ac:dyDescent="0.25">
      <c r="A219" s="117"/>
      <c r="D219" s="118"/>
      <c r="E219" s="119"/>
      <c r="F219" s="120"/>
    </row>
    <row r="220" spans="1:6" x14ac:dyDescent="0.25">
      <c r="A220" s="117"/>
      <c r="D220" s="118"/>
      <c r="E220" s="119"/>
      <c r="F220" s="120"/>
    </row>
    <row r="221" spans="1:6" x14ac:dyDescent="0.25">
      <c r="A221" s="117"/>
      <c r="D221" s="118"/>
      <c r="E221" s="119"/>
      <c r="F221" s="120"/>
    </row>
    <row r="222" spans="1:6" x14ac:dyDescent="0.25">
      <c r="A222" s="117"/>
      <c r="D222" s="118"/>
      <c r="E222" s="119"/>
      <c r="F222" s="120"/>
    </row>
    <row r="223" spans="1:6" x14ac:dyDescent="0.25">
      <c r="A223" s="117"/>
      <c r="D223" s="118"/>
      <c r="E223" s="119"/>
      <c r="F223" s="120"/>
    </row>
    <row r="224" spans="1:6" x14ac:dyDescent="0.25">
      <c r="A224" s="117"/>
      <c r="D224" s="118"/>
      <c r="E224" s="119"/>
      <c r="F224" s="120"/>
    </row>
    <row r="225" spans="1:6" x14ac:dyDescent="0.25">
      <c r="A225" s="117"/>
      <c r="D225" s="118"/>
      <c r="E225" s="119"/>
      <c r="F225" s="120"/>
    </row>
    <row r="226" spans="1:6" x14ac:dyDescent="0.25">
      <c r="A226" s="117"/>
      <c r="D226" s="118"/>
      <c r="E226" s="119"/>
      <c r="F226" s="120"/>
    </row>
    <row r="227" spans="1:6" x14ac:dyDescent="0.25">
      <c r="A227" s="117"/>
      <c r="D227" s="118"/>
      <c r="E227" s="119"/>
      <c r="F227" s="120"/>
    </row>
    <row r="228" spans="1:6" x14ac:dyDescent="0.25">
      <c r="A228" s="117"/>
      <c r="D228" s="118"/>
      <c r="E228" s="119"/>
      <c r="F228" s="120"/>
    </row>
    <row r="229" spans="1:6" x14ac:dyDescent="0.25">
      <c r="A229" s="117"/>
      <c r="D229" s="118"/>
      <c r="E229" s="119"/>
      <c r="F229" s="120"/>
    </row>
    <row r="230" spans="1:6" x14ac:dyDescent="0.25">
      <c r="A230" s="117"/>
      <c r="D230" s="118"/>
      <c r="E230" s="119"/>
      <c r="F230" s="120"/>
    </row>
    <row r="231" spans="1:6" x14ac:dyDescent="0.25">
      <c r="A231" s="117"/>
      <c r="D231" s="118"/>
      <c r="E231" s="119"/>
      <c r="F231" s="120"/>
    </row>
    <row r="232" spans="1:6" x14ac:dyDescent="0.25">
      <c r="A232" s="117"/>
      <c r="D232" s="118"/>
      <c r="E232" s="119"/>
      <c r="F232" s="120"/>
    </row>
    <row r="233" spans="1:6" x14ac:dyDescent="0.25">
      <c r="A233" s="117"/>
      <c r="D233" s="118"/>
      <c r="E233" s="119"/>
      <c r="F233" s="120"/>
    </row>
    <row r="234" spans="1:6" x14ac:dyDescent="0.25">
      <c r="A234" s="117"/>
      <c r="D234" s="118"/>
      <c r="E234" s="119"/>
      <c r="F234" s="120"/>
    </row>
    <row r="235" spans="1:6" x14ac:dyDescent="0.25">
      <c r="A235" s="117"/>
      <c r="D235" s="118"/>
      <c r="E235" s="119"/>
      <c r="F235" s="120"/>
    </row>
    <row r="236" spans="1:6" x14ac:dyDescent="0.25">
      <c r="A236" s="117"/>
      <c r="D236" s="118"/>
      <c r="E236" s="119"/>
      <c r="F236" s="120"/>
    </row>
    <row r="237" spans="1:6" x14ac:dyDescent="0.25">
      <c r="A237" s="117"/>
      <c r="D237" s="118"/>
      <c r="E237" s="119"/>
      <c r="F237" s="120"/>
    </row>
    <row r="238" spans="1:6" x14ac:dyDescent="0.25">
      <c r="A238" s="117"/>
      <c r="D238" s="118"/>
      <c r="E238" s="119"/>
      <c r="F238" s="120"/>
    </row>
    <row r="239" spans="1:6" x14ac:dyDescent="0.25">
      <c r="A239" s="117"/>
      <c r="D239" s="118"/>
      <c r="E239" s="119"/>
      <c r="F239" s="120"/>
    </row>
    <row r="240" spans="1:6" x14ac:dyDescent="0.25">
      <c r="A240" s="117"/>
      <c r="D240" s="118"/>
      <c r="E240" s="119"/>
      <c r="F240" s="120"/>
    </row>
    <row r="241" spans="1:6" x14ac:dyDescent="0.25">
      <c r="A241" s="117"/>
      <c r="D241" s="118"/>
      <c r="E241" s="119"/>
      <c r="F241" s="120"/>
    </row>
    <row r="242" spans="1:6" x14ac:dyDescent="0.25">
      <c r="A242" s="117"/>
      <c r="D242" s="118"/>
      <c r="E242" s="119"/>
      <c r="F242" s="120"/>
    </row>
    <row r="243" spans="1:6" x14ac:dyDescent="0.25">
      <c r="A243" s="117"/>
      <c r="D243" s="118"/>
      <c r="E243" s="119"/>
      <c r="F243" s="120"/>
    </row>
    <row r="244" spans="1:6" x14ac:dyDescent="0.25">
      <c r="A244" s="117"/>
      <c r="D244" s="118"/>
      <c r="E244" s="119"/>
      <c r="F244" s="120"/>
    </row>
    <row r="245" spans="1:6" x14ac:dyDescent="0.25">
      <c r="A245" s="117"/>
      <c r="D245" s="118"/>
      <c r="E245" s="119"/>
      <c r="F245" s="120"/>
    </row>
    <row r="246" spans="1:6" x14ac:dyDescent="0.25">
      <c r="A246" s="117"/>
      <c r="D246" s="118"/>
      <c r="E246" s="119"/>
      <c r="F246" s="120"/>
    </row>
    <row r="247" spans="1:6" x14ac:dyDescent="0.25">
      <c r="A247" s="117"/>
      <c r="D247" s="118"/>
      <c r="E247" s="119"/>
      <c r="F247" s="120"/>
    </row>
    <row r="248" spans="1:6" x14ac:dyDescent="0.25">
      <c r="A248" s="117"/>
      <c r="D248" s="118"/>
      <c r="E248" s="119"/>
      <c r="F248" s="120"/>
    </row>
    <row r="249" spans="1:6" x14ac:dyDescent="0.25">
      <c r="A249" s="117"/>
      <c r="D249" s="118"/>
      <c r="E249" s="119"/>
      <c r="F249" s="120"/>
    </row>
    <row r="250" spans="1:6" x14ac:dyDescent="0.25">
      <c r="A250" s="117"/>
      <c r="D250" s="118"/>
      <c r="E250" s="119"/>
      <c r="F250" s="120"/>
    </row>
    <row r="251" spans="1:6" x14ac:dyDescent="0.25">
      <c r="A251" s="117"/>
      <c r="D251" s="118"/>
      <c r="E251" s="119"/>
      <c r="F251" s="120"/>
    </row>
    <row r="252" spans="1:6" x14ac:dyDescent="0.25">
      <c r="A252" s="117"/>
      <c r="D252" s="118"/>
      <c r="E252" s="119"/>
      <c r="F252" s="120"/>
    </row>
    <row r="253" spans="1:6" x14ac:dyDescent="0.25">
      <c r="A253" s="117"/>
      <c r="D253" s="118"/>
      <c r="E253" s="119"/>
      <c r="F253" s="120"/>
    </row>
    <row r="254" spans="1:6" x14ac:dyDescent="0.25">
      <c r="A254" s="117"/>
      <c r="D254" s="118"/>
      <c r="E254" s="119"/>
      <c r="F254" s="120"/>
    </row>
    <row r="255" spans="1:6" x14ac:dyDescent="0.25">
      <c r="A255" s="117"/>
      <c r="D255" s="118"/>
      <c r="E255" s="119"/>
      <c r="F255" s="120"/>
    </row>
    <row r="256" spans="1:6" x14ac:dyDescent="0.25">
      <c r="A256" s="117"/>
      <c r="D256" s="118"/>
      <c r="E256" s="119"/>
      <c r="F256" s="120"/>
    </row>
    <row r="257" spans="1:6" x14ac:dyDescent="0.25">
      <c r="A257" s="117"/>
      <c r="D257" s="118"/>
      <c r="E257" s="119"/>
      <c r="F257" s="120"/>
    </row>
    <row r="258" spans="1:6" x14ac:dyDescent="0.25">
      <c r="A258" s="117"/>
      <c r="D258" s="118"/>
      <c r="E258" s="119"/>
      <c r="F258" s="120"/>
    </row>
    <row r="259" spans="1:6" x14ac:dyDescent="0.25">
      <c r="A259" s="117"/>
      <c r="D259" s="118"/>
      <c r="E259" s="119"/>
      <c r="F259" s="120"/>
    </row>
    <row r="260" spans="1:6" x14ac:dyDescent="0.25">
      <c r="A260" s="117"/>
      <c r="D260" s="118"/>
      <c r="E260" s="119"/>
      <c r="F260" s="120"/>
    </row>
    <row r="261" spans="1:6" x14ac:dyDescent="0.25">
      <c r="A261" s="117"/>
      <c r="D261" s="118"/>
      <c r="E261" s="119"/>
      <c r="F261" s="120"/>
    </row>
    <row r="262" spans="1:6" x14ac:dyDescent="0.25">
      <c r="A262" s="117"/>
      <c r="D262" s="118"/>
      <c r="E262" s="119"/>
      <c r="F262" s="120"/>
    </row>
    <row r="263" spans="1:6" x14ac:dyDescent="0.25">
      <c r="A263" s="117"/>
      <c r="D263" s="118"/>
      <c r="E263" s="119"/>
      <c r="F263" s="120"/>
    </row>
    <row r="264" spans="1:6" x14ac:dyDescent="0.25">
      <c r="A264" s="117"/>
      <c r="D264" s="118"/>
      <c r="E264" s="119"/>
      <c r="F264" s="120"/>
    </row>
    <row r="265" spans="1:6" x14ac:dyDescent="0.25">
      <c r="A265" s="117"/>
      <c r="D265" s="118"/>
      <c r="E265" s="119"/>
      <c r="F265" s="120"/>
    </row>
    <row r="266" spans="1:6" x14ac:dyDescent="0.25">
      <c r="A266" s="117"/>
      <c r="D266" s="118"/>
      <c r="E266" s="119"/>
      <c r="F266" s="120"/>
    </row>
    <row r="267" spans="1:6" x14ac:dyDescent="0.25">
      <c r="A267" s="117"/>
      <c r="D267" s="118"/>
      <c r="E267" s="119"/>
      <c r="F267" s="120"/>
    </row>
    <row r="268" spans="1:6" x14ac:dyDescent="0.25">
      <c r="A268" s="117"/>
      <c r="D268" s="118"/>
      <c r="E268" s="119"/>
      <c r="F268" s="120"/>
    </row>
    <row r="269" spans="1:6" x14ac:dyDescent="0.25">
      <c r="A269" s="117"/>
      <c r="D269" s="118"/>
      <c r="E269" s="119"/>
      <c r="F269" s="120"/>
    </row>
    <row r="270" spans="1:6" x14ac:dyDescent="0.25">
      <c r="A270" s="117"/>
      <c r="D270" s="118"/>
      <c r="E270" s="119"/>
      <c r="F270" s="120"/>
    </row>
    <row r="271" spans="1:6" x14ac:dyDescent="0.25">
      <c r="A271" s="117"/>
      <c r="D271" s="118"/>
      <c r="E271" s="119"/>
      <c r="F271" s="120"/>
    </row>
    <row r="272" spans="1:6" x14ac:dyDescent="0.25">
      <c r="A272" s="117"/>
      <c r="D272" s="118"/>
      <c r="E272" s="119"/>
      <c r="F272" s="120"/>
    </row>
    <row r="273" spans="1:6" x14ac:dyDescent="0.25">
      <c r="A273" s="117"/>
      <c r="D273" s="118"/>
      <c r="E273" s="119"/>
      <c r="F273" s="120"/>
    </row>
    <row r="274" spans="1:6" x14ac:dyDescent="0.25">
      <c r="A274" s="117"/>
      <c r="D274" s="118"/>
      <c r="E274" s="119"/>
      <c r="F274" s="120"/>
    </row>
    <row r="275" spans="1:6" x14ac:dyDescent="0.25">
      <c r="A275" s="117"/>
      <c r="D275" s="118"/>
      <c r="E275" s="119"/>
      <c r="F275" s="120"/>
    </row>
    <row r="276" spans="1:6" x14ac:dyDescent="0.25">
      <c r="A276" s="117"/>
      <c r="D276" s="118"/>
      <c r="E276" s="119"/>
      <c r="F276" s="120"/>
    </row>
    <row r="277" spans="1:6" x14ac:dyDescent="0.25">
      <c r="A277" s="117"/>
      <c r="D277" s="118"/>
      <c r="E277" s="119"/>
      <c r="F277" s="120"/>
    </row>
    <row r="278" spans="1:6" x14ac:dyDescent="0.25">
      <c r="A278" s="117"/>
      <c r="D278" s="118"/>
      <c r="E278" s="119"/>
      <c r="F278" s="120"/>
    </row>
    <row r="279" spans="1:6" x14ac:dyDescent="0.25">
      <c r="A279" s="117"/>
      <c r="D279" s="118"/>
      <c r="E279" s="119"/>
      <c r="F279" s="120"/>
    </row>
    <row r="280" spans="1:6" x14ac:dyDescent="0.25">
      <c r="A280" s="117"/>
      <c r="D280" s="118"/>
      <c r="E280" s="119"/>
      <c r="F280" s="120"/>
    </row>
    <row r="281" spans="1:6" x14ac:dyDescent="0.25">
      <c r="A281" s="117"/>
      <c r="D281" s="118"/>
      <c r="E281" s="119"/>
      <c r="F281" s="120"/>
    </row>
    <row r="282" spans="1:6" x14ac:dyDescent="0.25">
      <c r="A282" s="117"/>
      <c r="D282" s="118"/>
      <c r="E282" s="119"/>
      <c r="F282" s="120"/>
    </row>
    <row r="283" spans="1:6" x14ac:dyDescent="0.25">
      <c r="A283" s="117"/>
      <c r="D283" s="118"/>
      <c r="E283" s="119"/>
      <c r="F283" s="120"/>
    </row>
    <row r="284" spans="1:6" x14ac:dyDescent="0.25">
      <c r="A284" s="117"/>
      <c r="D284" s="118"/>
      <c r="E284" s="119"/>
      <c r="F284" s="120"/>
    </row>
    <row r="285" spans="1:6" x14ac:dyDescent="0.25">
      <c r="A285" s="117"/>
      <c r="D285" s="118"/>
      <c r="E285" s="119"/>
      <c r="F285" s="120"/>
    </row>
    <row r="286" spans="1:6" x14ac:dyDescent="0.25">
      <c r="A286" s="117"/>
      <c r="D286" s="118"/>
      <c r="E286" s="119"/>
      <c r="F286" s="120"/>
    </row>
    <row r="287" spans="1:6" x14ac:dyDescent="0.25">
      <c r="A287" s="117"/>
      <c r="D287" s="118"/>
      <c r="E287" s="119"/>
      <c r="F287" s="120"/>
    </row>
    <row r="288" spans="1:6" x14ac:dyDescent="0.25">
      <c r="A288" s="117"/>
      <c r="D288" s="118"/>
      <c r="E288" s="119"/>
      <c r="F288" s="120"/>
    </row>
    <row r="289" spans="1:6" x14ac:dyDescent="0.25">
      <c r="A289" s="117"/>
      <c r="D289" s="118"/>
      <c r="E289" s="119"/>
      <c r="F289" s="120"/>
    </row>
    <row r="290" spans="1:6" x14ac:dyDescent="0.25">
      <c r="A290" s="117"/>
      <c r="D290" s="118"/>
      <c r="E290" s="119"/>
      <c r="F290" s="120"/>
    </row>
    <row r="291" spans="1:6" x14ac:dyDescent="0.25">
      <c r="A291" s="117"/>
      <c r="D291" s="118"/>
      <c r="E291" s="119"/>
      <c r="F291" s="120"/>
    </row>
    <row r="292" spans="1:6" x14ac:dyDescent="0.25">
      <c r="A292" s="117"/>
      <c r="D292" s="118"/>
      <c r="E292" s="119"/>
      <c r="F292" s="120"/>
    </row>
    <row r="293" spans="1:6" x14ac:dyDescent="0.25">
      <c r="A293" s="117"/>
      <c r="D293" s="118"/>
      <c r="E293" s="119"/>
      <c r="F293" s="120"/>
    </row>
    <row r="294" spans="1:6" x14ac:dyDescent="0.25">
      <c r="A294" s="117"/>
      <c r="D294" s="118"/>
      <c r="E294" s="119"/>
      <c r="F294" s="120"/>
    </row>
    <row r="295" spans="1:6" x14ac:dyDescent="0.25">
      <c r="A295" s="117"/>
      <c r="D295" s="118"/>
      <c r="E295" s="119"/>
      <c r="F295" s="120"/>
    </row>
    <row r="296" spans="1:6" x14ac:dyDescent="0.25">
      <c r="A296" s="117"/>
      <c r="D296" s="118"/>
      <c r="E296" s="119"/>
      <c r="F296" s="120"/>
    </row>
    <row r="297" spans="1:6" x14ac:dyDescent="0.25">
      <c r="A297" s="117"/>
      <c r="D297" s="118"/>
      <c r="E297" s="119"/>
      <c r="F297" s="120"/>
    </row>
    <row r="298" spans="1:6" x14ac:dyDescent="0.25">
      <c r="A298" s="117"/>
      <c r="D298" s="118"/>
      <c r="E298" s="119"/>
      <c r="F298" s="120"/>
    </row>
    <row r="299" spans="1:6" x14ac:dyDescent="0.25">
      <c r="A299" s="117"/>
      <c r="D299" s="118"/>
      <c r="E299" s="119"/>
      <c r="F299" s="120"/>
    </row>
    <row r="300" spans="1:6" x14ac:dyDescent="0.25">
      <c r="A300" s="117"/>
      <c r="D300" s="118"/>
      <c r="E300" s="119"/>
      <c r="F300" s="120"/>
    </row>
    <row r="301" spans="1:6" x14ac:dyDescent="0.25">
      <c r="A301" s="117"/>
      <c r="D301" s="118"/>
      <c r="E301" s="119"/>
      <c r="F301" s="120"/>
    </row>
    <row r="302" spans="1:6" x14ac:dyDescent="0.25">
      <c r="A302" s="117"/>
      <c r="D302" s="118"/>
      <c r="E302" s="119"/>
      <c r="F302" s="120"/>
    </row>
    <row r="303" spans="1:6" x14ac:dyDescent="0.25">
      <c r="A303" s="117"/>
      <c r="D303" s="118"/>
      <c r="E303" s="119"/>
      <c r="F303" s="120"/>
    </row>
    <row r="304" spans="1:6" x14ac:dyDescent="0.25">
      <c r="A304" s="117"/>
      <c r="D304" s="118"/>
      <c r="E304" s="119"/>
      <c r="F304" s="120"/>
    </row>
    <row r="305" spans="1:14" x14ac:dyDescent="0.25">
      <c r="A305" s="117"/>
      <c r="D305" s="118"/>
      <c r="E305" s="119"/>
      <c r="F305" s="120"/>
    </row>
    <row r="306" spans="1:14" x14ac:dyDescent="0.25">
      <c r="A306" s="117"/>
      <c r="D306" s="118"/>
      <c r="E306" s="119"/>
      <c r="F306" s="120"/>
    </row>
    <row r="307" spans="1:14" outlineLevel="1" x14ac:dyDescent="0.25">
      <c r="A307" s="116" t="s">
        <v>196</v>
      </c>
      <c r="B307" s="34" t="s">
        <v>209</v>
      </c>
      <c r="C307" s="116" t="s">
        <v>197</v>
      </c>
      <c r="D307" s="116" t="s">
        <v>198</v>
      </c>
      <c r="E307" s="116" t="s">
        <v>199</v>
      </c>
      <c r="F307" s="116" t="s">
        <v>200</v>
      </c>
      <c r="G307" s="116" t="s">
        <v>201</v>
      </c>
      <c r="H307" s="116" t="s">
        <v>202</v>
      </c>
      <c r="I307" s="116" t="s">
        <v>203</v>
      </c>
      <c r="J307" s="116" t="s">
        <v>204</v>
      </c>
      <c r="K307" s="116" t="s">
        <v>205</v>
      </c>
      <c r="L307" s="116" t="s">
        <v>206</v>
      </c>
      <c r="M307" s="116" t="s">
        <v>207</v>
      </c>
      <c r="N307" s="116" t="s">
        <v>208</v>
      </c>
    </row>
    <row r="308" spans="1:14" outlineLevel="1" x14ac:dyDescent="0.25">
      <c r="A308" s="34" t="s">
        <v>210</v>
      </c>
      <c r="B308" s="137">
        <v>0</v>
      </c>
      <c r="C308" s="137">
        <f t="shared" ref="C308:N308" si="88">B106</f>
        <v>-2854.2163455653749</v>
      </c>
      <c r="D308" s="137">
        <f t="shared" si="88"/>
        <v>-2917.4195511307498</v>
      </c>
      <c r="E308" s="137">
        <f t="shared" si="88"/>
        <v>-2865.4855366961247</v>
      </c>
      <c r="F308" s="137">
        <f t="shared" si="88"/>
        <v>-1931.7834422614997</v>
      </c>
      <c r="G308" s="137">
        <f t="shared" si="88"/>
        <v>-1215.727715609562</v>
      </c>
      <c r="H308" s="137">
        <f t="shared" si="88"/>
        <v>-497.49831895762441</v>
      </c>
      <c r="I308" s="137">
        <f t="shared" si="88"/>
        <v>222.95952769431324</v>
      </c>
      <c r="J308" s="137">
        <f t="shared" si="88"/>
        <v>945.70200434625099</v>
      </c>
      <c r="K308" s="137">
        <f t="shared" si="88"/>
        <v>1078.4642514328127</v>
      </c>
      <c r="L308" s="137">
        <f t="shared" si="88"/>
        <v>1169.7399525193753</v>
      </c>
      <c r="M308" s="137">
        <f t="shared" si="88"/>
        <v>1325.4169036059373</v>
      </c>
      <c r="N308" s="137">
        <f t="shared" si="88"/>
        <v>1483.6177146924995</v>
      </c>
    </row>
    <row r="309" spans="1:14" outlineLevel="1" x14ac:dyDescent="0.25">
      <c r="A309" s="34" t="s">
        <v>188</v>
      </c>
      <c r="B309" s="137">
        <f t="shared" ref="B309:M309" si="89">B103*B311</f>
        <v>-2920.0058022106173</v>
      </c>
      <c r="C309" s="137">
        <f t="shared" si="89"/>
        <v>-189.47630855430381</v>
      </c>
      <c r="D309" s="137">
        <f t="shared" si="89"/>
        <v>-276.63596018000823</v>
      </c>
      <c r="E309" s="137">
        <f t="shared" si="89"/>
        <v>0</v>
      </c>
      <c r="F309" s="137">
        <f t="shared" si="89"/>
        <v>0</v>
      </c>
      <c r="G309" s="137">
        <f t="shared" si="89"/>
        <v>0</v>
      </c>
      <c r="H309" s="137">
        <f t="shared" si="89"/>
        <v>0</v>
      </c>
      <c r="I309" s="137">
        <f t="shared" si="89"/>
        <v>0</v>
      </c>
      <c r="J309" s="137">
        <f t="shared" si="89"/>
        <v>0</v>
      </c>
      <c r="K309" s="137">
        <f t="shared" si="89"/>
        <v>0</v>
      </c>
      <c r="L309" s="137">
        <f t="shared" si="89"/>
        <v>0</v>
      </c>
      <c r="M309" s="137">
        <f t="shared" si="89"/>
        <v>0</v>
      </c>
    </row>
    <row r="310" spans="1:14" outlineLevel="1" x14ac:dyDescent="0.25">
      <c r="A310" s="34" t="s">
        <v>189</v>
      </c>
      <c r="B310" s="137">
        <f t="shared" ref="B310:M310" si="90">B104*B311</f>
        <v>141.89637227219083</v>
      </c>
      <c r="C310" s="137">
        <f t="shared" si="90"/>
        <v>129.59875815767347</v>
      </c>
      <c r="D310" s="137">
        <f t="shared" si="90"/>
        <v>324.52534667709136</v>
      </c>
      <c r="E310" s="137">
        <f t="shared" si="90"/>
        <v>838.02730988896781</v>
      </c>
      <c r="F310" s="137">
        <f t="shared" si="90"/>
        <v>625.54581197600521</v>
      </c>
      <c r="G310" s="137">
        <f t="shared" si="90"/>
        <v>610.71408275001045</v>
      </c>
      <c r="H310" s="137">
        <f t="shared" si="90"/>
        <v>596.27389133217616</v>
      </c>
      <c r="I310" s="137">
        <f t="shared" si="90"/>
        <v>582.21482156984723</v>
      </c>
      <c r="J310" s="137">
        <f t="shared" si="90"/>
        <v>104.09664481063069</v>
      </c>
      <c r="K310" s="137">
        <f t="shared" si="90"/>
        <v>69.659407216523135</v>
      </c>
      <c r="L310" s="137">
        <f t="shared" si="90"/>
        <v>115.64087631878307</v>
      </c>
      <c r="M310" s="137">
        <f t="shared" si="90"/>
        <v>114.3821411936369</v>
      </c>
    </row>
    <row r="311" spans="1:14" outlineLevel="1" x14ac:dyDescent="0.25">
      <c r="A311" s="34" t="str">
        <f t="shared" ref="A311:M311" si="91">A108</f>
        <v>Коэффициент дисконтирования</v>
      </c>
      <c r="B311" s="138">
        <f t="shared" si="91"/>
        <v>0.97333526740353915</v>
      </c>
      <c r="C311" s="138">
        <f t="shared" si="91"/>
        <v>0.94738154277151909</v>
      </c>
      <c r="D311" s="138">
        <f t="shared" si="91"/>
        <v>0.92211986726669404</v>
      </c>
      <c r="E311" s="138">
        <f t="shared" si="91"/>
        <v>0.89753178758414354</v>
      </c>
      <c r="F311" s="138">
        <f t="shared" si="91"/>
        <v>0.87359934247138871</v>
      </c>
      <c r="G311" s="138">
        <f t="shared" si="91"/>
        <v>0.85030504960794528</v>
      </c>
      <c r="H311" s="138">
        <f t="shared" si="91"/>
        <v>0.82763189283472904</v>
      </c>
      <c r="I311" s="138">
        <f t="shared" si="91"/>
        <v>0.80556330972398815</v>
      </c>
      <c r="J311" s="138">
        <f t="shared" si="91"/>
        <v>0.78408317948067796</v>
      </c>
      <c r="K311" s="138">
        <f t="shared" si="91"/>
        <v>0.76317581116644284</v>
      </c>
      <c r="L311" s="138">
        <f t="shared" si="91"/>
        <v>0.74282593223760263</v>
      </c>
      <c r="M311" s="138">
        <f t="shared" si="91"/>
        <v>0.72301867738877013</v>
      </c>
    </row>
    <row r="331" spans="14:14" x14ac:dyDescent="0.25">
      <c r="N331" s="138"/>
    </row>
  </sheetData>
  <sheetProtection password="C7EF" sheet="1" objects="1" scenarios="1" formatCells="0" formatColumns="0" formatRows="0" insertColumns="0" insertRows="0" insertHyperlinks="0" deleteColumns="0" deleteRows="0" sort="0" autoFilter="0" pivotTables="0"/>
  <mergeCells count="39">
    <mergeCell ref="Q55:Q56"/>
    <mergeCell ref="B55:E55"/>
    <mergeCell ref="F55:F56"/>
    <mergeCell ref="G55:J55"/>
    <mergeCell ref="K55:K56"/>
    <mergeCell ref="L55:O55"/>
    <mergeCell ref="P55:P56"/>
    <mergeCell ref="Q44:Q45"/>
    <mergeCell ref="A44:A45"/>
    <mergeCell ref="A24:A25"/>
    <mergeCell ref="B24:E24"/>
    <mergeCell ref="F24:F25"/>
    <mergeCell ref="G24:J24"/>
    <mergeCell ref="K24:K25"/>
    <mergeCell ref="L24:O24"/>
    <mergeCell ref="P24:P25"/>
    <mergeCell ref="Q24:Q25"/>
    <mergeCell ref="B44:E44"/>
    <mergeCell ref="F44:F45"/>
    <mergeCell ref="G44:J44"/>
    <mergeCell ref="K44:K45"/>
    <mergeCell ref="L44:O44"/>
    <mergeCell ref="A20:B20"/>
    <mergeCell ref="B2:C2"/>
    <mergeCell ref="A16:C16"/>
    <mergeCell ref="A15:C15"/>
    <mergeCell ref="P44:P45"/>
    <mergeCell ref="A137:A138"/>
    <mergeCell ref="B137:M137"/>
    <mergeCell ref="A55:A56"/>
    <mergeCell ref="N72:N73"/>
    <mergeCell ref="B101:E101"/>
    <mergeCell ref="F101:I101"/>
    <mergeCell ref="J101:M101"/>
    <mergeCell ref="A101:A102"/>
    <mergeCell ref="J72:M72"/>
    <mergeCell ref="F72:I72"/>
    <mergeCell ref="A72:A73"/>
    <mergeCell ref="B72:E72"/>
  </mergeCells>
  <phoneticPr fontId="8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="85" zoomScaleNormal="85" workbookViewId="0">
      <selection activeCell="D39" sqref="D39:H39"/>
    </sheetView>
  </sheetViews>
  <sheetFormatPr defaultRowHeight="15.75" x14ac:dyDescent="0.25"/>
  <cols>
    <col min="1" max="1" width="4.7109375" style="3" customWidth="1"/>
    <col min="2" max="2" width="66.7109375" style="2" customWidth="1"/>
    <col min="3" max="3" width="15.42578125" style="2" customWidth="1"/>
    <col min="4" max="4" width="23" style="2" customWidth="1"/>
    <col min="5" max="5" width="5.28515625" style="2" customWidth="1"/>
    <col min="6" max="6" width="20.28515625" style="2" customWidth="1"/>
    <col min="7" max="7" width="5.28515625" style="2" customWidth="1"/>
    <col min="8" max="8" width="59.140625" style="2" customWidth="1"/>
    <col min="9" max="16384" width="9.140625" style="2"/>
  </cols>
  <sheetData>
    <row r="1" spans="1:19" x14ac:dyDescent="0.25">
      <c r="A1" s="257" t="s">
        <v>293</v>
      </c>
      <c r="B1" s="257"/>
      <c r="C1" s="257"/>
      <c r="D1" s="257"/>
      <c r="E1" s="257"/>
      <c r="F1" s="257"/>
      <c r="G1" s="257"/>
      <c r="H1" s="257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N2" s="236"/>
      <c r="O2" s="236"/>
    </row>
    <row r="3" spans="1:19" x14ac:dyDescent="0.25">
      <c r="C3" s="4" t="s">
        <v>244</v>
      </c>
      <c r="D3" s="5">
        <f>'Данные Заявителя'!B4</f>
        <v>0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B4" s="262" t="s">
        <v>290</v>
      </c>
      <c r="C4" s="262"/>
      <c r="D4" s="270" t="s">
        <v>212</v>
      </c>
      <c r="E4" s="270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8"/>
      <c r="B5" s="240"/>
      <c r="C5" s="240"/>
      <c r="D5" s="240"/>
      <c r="E5" s="240"/>
      <c r="F5" s="240"/>
      <c r="G5" s="240"/>
      <c r="H5" s="240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</row>
    <row r="6" spans="1:19" x14ac:dyDescent="0.25">
      <c r="A6" s="9" t="s">
        <v>287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1.5" x14ac:dyDescent="0.25">
      <c r="A7" s="11" t="s">
        <v>285</v>
      </c>
      <c r="B7" s="11" t="s">
        <v>245</v>
      </c>
      <c r="C7" s="11" t="s">
        <v>246</v>
      </c>
      <c r="D7" s="258" t="s">
        <v>247</v>
      </c>
      <c r="E7" s="242"/>
      <c r="F7" s="258" t="s">
        <v>248</v>
      </c>
      <c r="G7" s="242"/>
      <c r="H7" s="11" t="s">
        <v>249</v>
      </c>
      <c r="J7" s="12"/>
      <c r="K7" s="13"/>
      <c r="L7" s="12"/>
      <c r="M7" s="12"/>
      <c r="N7" s="12"/>
      <c r="P7" s="14"/>
      <c r="Q7" s="14"/>
      <c r="R7" s="14"/>
      <c r="S7" s="14"/>
    </row>
    <row r="8" spans="1:19" x14ac:dyDescent="0.25">
      <c r="A8" s="11">
        <v>1</v>
      </c>
      <c r="B8" s="15" t="s">
        <v>250</v>
      </c>
      <c r="C8" s="11" t="s">
        <v>291</v>
      </c>
      <c r="D8" s="265">
        <f>IF(D4='Итоговые расчеты модели'!B138,'Итоговые расчеты модели'!B149,IF(D4='Итоговые расчеты модели'!C138,'Итоговые расчеты модели'!C149,IF($D$4='Итоговые расчеты модели'!D138,'Итоговые расчеты модели'!D149,IF($D$4='Итоговые расчеты модели'!E138,'Итоговые расчеты модели'!E149,IF($D$4='Итоговые расчеты модели'!F138,'Итоговые расчеты модели'!F149,IF($D$4='Итоговые расчеты модели'!G138,'Итоговые расчеты модели'!G149,IF($D$4='Итоговые расчеты модели'!H138,'Итоговые расчеты модели'!H149,IF($D$4='Итоговые расчеты модели'!I138,'Итоговые расчеты модели'!I149,IF($D$4='Итоговые расчеты модели'!J138,'Итоговые расчеты модели'!J149,IF($D$4='Итоговые расчеты модели'!K138,'Итоговые расчеты модели'!K149,IF($D$4='Итоговые расчеты модели'!L138,'Итоговые расчеты модели'!L149,'Итоговые расчеты модели'!M149)))))))))))</f>
        <v>5</v>
      </c>
      <c r="E8" s="266"/>
      <c r="F8" s="238"/>
      <c r="G8" s="239"/>
      <c r="H8" s="16"/>
      <c r="I8" s="14"/>
      <c r="J8" s="14"/>
      <c r="K8" s="12"/>
      <c r="L8" s="12"/>
      <c r="M8" s="12"/>
      <c r="N8" s="12"/>
      <c r="O8" s="12" t="s">
        <v>272</v>
      </c>
      <c r="P8" s="12"/>
      <c r="Q8" s="12"/>
      <c r="R8" s="12"/>
      <c r="S8" s="12"/>
    </row>
    <row r="9" spans="1:19" x14ac:dyDescent="0.25">
      <c r="A9" s="11">
        <v>2</v>
      </c>
      <c r="B9" s="15" t="s">
        <v>251</v>
      </c>
      <c r="C9" s="11" t="s">
        <v>275</v>
      </c>
      <c r="D9" s="263">
        <f>IF(D4='Итоговые расчеты модели'!B138,'Итоговые расчеты модели'!B139,IF(D4='Итоговые расчеты модели'!C138,'Итоговые расчеты модели'!C139,IF($D$4='Итоговые расчеты модели'!D138,'Итоговые расчеты модели'!D139,IF($D$4='Итоговые расчеты модели'!E138,'Итоговые расчеты модели'!E139,IF($D$4='Итоговые расчеты модели'!F138,'Итоговые расчеты модели'!F139,IF($D$4='Итоговые расчеты модели'!G138,'Итоговые расчеты модели'!G139,IF($D$4='Итоговые расчеты модели'!H138,'Итоговые расчеты модели'!H139,IF($D$4='Итоговые расчеты модели'!I138,'Итоговые расчеты модели'!I139,IF($D$4='Итоговые расчеты модели'!J138,'Итоговые расчеты модели'!J139,IF($D$4='Итоговые расчеты модели'!K138,'Итоговые расчеты модели'!K139,IF($D$4='Итоговые расчеты модели'!L138,'Итоговые расчеты модели'!L139,'Итоговые расчеты модели'!M139)))))))))))</f>
        <v>762</v>
      </c>
      <c r="E9" s="264"/>
      <c r="F9" s="238"/>
      <c r="G9" s="239"/>
      <c r="H9" s="16"/>
      <c r="I9" s="14"/>
      <c r="J9" s="14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1">
        <v>3</v>
      </c>
      <c r="B10" s="15" t="s">
        <v>252</v>
      </c>
      <c r="C10" s="11" t="s">
        <v>275</v>
      </c>
      <c r="D10" s="260">
        <f>IF(D4='Итоговые расчеты модели'!B138,'Итоговые расчеты модели'!B140,IF(D4='Итоговые расчеты модели'!C138,'Итоговые расчеты модели'!C140,IF($D$4='Итоговые расчеты модели'!D138,'Итоговые расчеты модели'!D140,IF($D$4='Итоговые расчеты модели'!E138,'Итоговые расчеты модели'!E140,IF($D$4='Итоговые расчеты модели'!F138,'Итоговые расчеты модели'!F140,IF($D$4='Итоговые расчеты модели'!G138,'Итоговые расчеты модели'!G140,IF($D$4='Итоговые расчеты модели'!H138,'Итоговые расчеты модели'!H140,IF($D$4='Итоговые расчеты модели'!I138,'Итоговые расчеты модели'!I140,IF($D$4='Итоговые расчеты модели'!J138,'Итоговые расчеты модели'!J140,IF($D$4='Итоговые расчеты модели'!K138,'Итоговые расчеты модели'!K140,IF($D$4='Итоговые расчеты модели'!L138,'Итоговые расчеты модели'!L140,'Итоговые расчеты модели'!M140)))))))))))</f>
        <v>-20.883012232041665</v>
      </c>
      <c r="E10" s="261"/>
      <c r="F10" s="268"/>
      <c r="G10" s="269"/>
      <c r="H10" s="1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47">
        <v>4</v>
      </c>
      <c r="B11" s="267" t="s">
        <v>253</v>
      </c>
      <c r="C11" s="247" t="s">
        <v>254</v>
      </c>
      <c r="D11" s="18" t="s">
        <v>255</v>
      </c>
      <c r="E11" s="16"/>
      <c r="F11" s="18" t="s">
        <v>255</v>
      </c>
      <c r="G11" s="19"/>
      <c r="H11" s="19"/>
      <c r="I11" s="14"/>
      <c r="J11" s="13"/>
      <c r="K11" s="14"/>
      <c r="L11" s="14"/>
      <c r="M11" s="14"/>
      <c r="N11" s="14"/>
      <c r="O11" s="237"/>
      <c r="P11" s="237"/>
      <c r="Q11" s="237"/>
      <c r="R11" s="237"/>
      <c r="S11" s="237"/>
    </row>
    <row r="12" spans="1:19" x14ac:dyDescent="0.25">
      <c r="A12" s="259"/>
      <c r="B12" s="267"/>
      <c r="C12" s="259"/>
      <c r="D12" s="18" t="s">
        <v>256</v>
      </c>
      <c r="E12" s="16"/>
      <c r="F12" s="18" t="s">
        <v>256</v>
      </c>
      <c r="G12" s="19"/>
      <c r="H12" s="16"/>
      <c r="I12" s="14"/>
      <c r="J12" s="14"/>
      <c r="K12" s="14"/>
      <c r="L12" s="14"/>
      <c r="M12" s="14"/>
      <c r="N12" s="14"/>
      <c r="O12" s="12"/>
      <c r="P12" s="12"/>
      <c r="Q12" s="12"/>
      <c r="R12" s="12"/>
      <c r="S12" s="12"/>
    </row>
    <row r="13" spans="1:19" x14ac:dyDescent="0.25">
      <c r="A13" s="259"/>
      <c r="B13" s="267"/>
      <c r="C13" s="259"/>
      <c r="D13" s="18" t="s">
        <v>258</v>
      </c>
      <c r="E13" s="16"/>
      <c r="F13" s="18" t="s">
        <v>258</v>
      </c>
      <c r="G13" s="19"/>
      <c r="H13" s="16"/>
      <c r="I13" s="14"/>
      <c r="J13" s="14"/>
      <c r="K13" s="14"/>
      <c r="L13" s="14"/>
      <c r="M13" s="14"/>
      <c r="N13" s="14"/>
      <c r="O13" s="12"/>
      <c r="P13" s="12"/>
      <c r="Q13" s="12"/>
      <c r="R13" s="12"/>
      <c r="S13" s="12"/>
    </row>
    <row r="14" spans="1:19" x14ac:dyDescent="0.25">
      <c r="A14" s="259"/>
      <c r="B14" s="267"/>
      <c r="C14" s="259"/>
      <c r="D14" s="18" t="s">
        <v>257</v>
      </c>
      <c r="E14" s="16"/>
      <c r="F14" s="18" t="s">
        <v>257</v>
      </c>
      <c r="G14" s="19"/>
      <c r="H14" s="16"/>
      <c r="I14" s="14"/>
      <c r="J14" s="14"/>
      <c r="K14" s="14"/>
      <c r="L14" s="14"/>
      <c r="M14" s="14"/>
      <c r="N14" s="14"/>
      <c r="O14" s="12"/>
      <c r="P14" s="12"/>
      <c r="Q14" s="12"/>
      <c r="R14" s="12"/>
      <c r="S14" s="12"/>
    </row>
    <row r="15" spans="1:19" x14ac:dyDescent="0.25">
      <c r="A15" s="259"/>
      <c r="B15" s="267"/>
      <c r="C15" s="248"/>
      <c r="D15" s="18" t="s">
        <v>274</v>
      </c>
      <c r="E15" s="16"/>
      <c r="F15" s="18" t="s">
        <v>274</v>
      </c>
      <c r="G15" s="19"/>
      <c r="H15" s="19"/>
      <c r="I15" s="14"/>
      <c r="J15" s="14"/>
      <c r="K15" s="14"/>
      <c r="L15" s="14"/>
      <c r="M15" s="14"/>
      <c r="N15" s="14"/>
      <c r="O15" s="12"/>
      <c r="P15" s="12"/>
      <c r="Q15" s="12"/>
      <c r="R15" s="12"/>
      <c r="S15" s="12"/>
    </row>
    <row r="16" spans="1:19" x14ac:dyDescent="0.25">
      <c r="A16" s="248"/>
      <c r="B16" s="267"/>
      <c r="C16" s="11" t="s">
        <v>275</v>
      </c>
      <c r="D16" s="263">
        <f>IF(D4='Итоговые расчеты модели'!B138,'Итоговые расчеты модели'!B151,IF(D4='Итоговые расчеты модели'!C138,'Итоговые расчеты модели'!C151,IF($D$4='Итоговые расчеты модели'!D138,'Итоговые расчеты модели'!D151,IF($D$4='Итоговые расчеты модели'!E138,'Итоговые расчеты модели'!E151,IF($D$4='Итоговые расчеты модели'!F138,'Итоговые расчеты модели'!F151,IF($D$4='Итоговые расчеты модели'!G138,'Итоговые расчеты модели'!G151,IF($D$4='Итоговые расчеты модели'!H138,'Итоговые расчеты модели'!H151,IF($D$4='Итоговые расчеты модели'!I138,'Итоговые расчеты модели'!I151,IF($D$4='Итоговые расчеты модели'!J138,'Итоговые расчеты модели'!J151,IF($D$4='Итоговые расчеты модели'!K138,'Итоговые расчеты модели'!K151,IF($D$4='Итоговые расчеты модели'!L138,'Итоговые расчеты модели'!L151,'Итоговые расчеты модели'!M151)))))))))))</f>
        <v>3000</v>
      </c>
      <c r="E16" s="264"/>
      <c r="F16" s="238"/>
      <c r="G16" s="239"/>
      <c r="H16" s="19"/>
      <c r="I16" s="14"/>
      <c r="J16" s="14"/>
      <c r="K16" s="14"/>
      <c r="L16" s="14"/>
      <c r="M16" s="14"/>
      <c r="N16" s="14"/>
      <c r="O16" s="12"/>
      <c r="P16" s="12"/>
      <c r="Q16" s="12"/>
      <c r="R16" s="12"/>
      <c r="S16" s="12"/>
    </row>
    <row r="17" spans="1:19" x14ac:dyDescent="0.25">
      <c r="A17" s="11">
        <v>5</v>
      </c>
      <c r="B17" s="267" t="s">
        <v>273</v>
      </c>
      <c r="C17" s="267"/>
      <c r="D17" s="241" t="str">
        <f>'Данные Заявителя'!B8</f>
        <v>УСНО (6% от дохода)</v>
      </c>
      <c r="E17" s="242"/>
      <c r="F17" s="238"/>
      <c r="G17" s="239"/>
      <c r="H17" s="16"/>
      <c r="I17" s="14"/>
      <c r="J17" s="14"/>
      <c r="K17" s="14"/>
      <c r="L17" s="14"/>
      <c r="M17" s="14"/>
      <c r="N17" s="14"/>
      <c r="O17" s="237"/>
      <c r="P17" s="237"/>
      <c r="Q17" s="237"/>
      <c r="R17" s="237"/>
      <c r="S17" s="237"/>
    </row>
    <row r="18" spans="1:19" s="13" customFormat="1" x14ac:dyDescent="0.25">
      <c r="A18" s="11">
        <v>6</v>
      </c>
      <c r="B18" s="258" t="s">
        <v>276</v>
      </c>
      <c r="C18" s="272"/>
      <c r="D18" s="20"/>
      <c r="E18" s="20"/>
      <c r="F18" s="20"/>
      <c r="G18" s="20"/>
      <c r="H18" s="21"/>
      <c r="I18" s="14"/>
      <c r="J18" s="14"/>
      <c r="K18" s="14"/>
      <c r="L18" s="14"/>
      <c r="M18" s="14"/>
      <c r="N18" s="14"/>
      <c r="O18" s="12"/>
      <c r="P18" s="12"/>
      <c r="Q18" s="12"/>
      <c r="R18" s="12"/>
      <c r="S18" s="12"/>
    </row>
    <row r="19" spans="1:19" s="13" customFormat="1" x14ac:dyDescent="0.25">
      <c r="A19" s="11"/>
      <c r="B19" s="15" t="s">
        <v>280</v>
      </c>
      <c r="C19" s="11" t="str">
        <f>C9</f>
        <v>тыс. руб.</v>
      </c>
      <c r="D19" s="273">
        <f>IF(D17='Данные Заявителя'!A95,IF(D4='Итоговые расчеты модели'!B138,'Итоговые расчеты модели'!B142/20*3,IF(D4='Итоговые расчеты модели'!C138,'Итоговые расчеты модели'!C142/20*3,IF($D$4='Итоговые расчеты модели'!D138,'Итоговые расчеты модели'!D142/20*3,IF($D$4='Итоговые расчеты модели'!E138,'Итоговые расчеты модели'!E142/20*3,IF($D$4='Итоговые расчеты модели'!F138,'Итоговые расчеты модели'!F142/20*3,IF($D$4='Итоговые расчеты модели'!G138,'Итоговые расчеты модели'!G142/20*3,IF($D$4='Итоговые расчеты модели'!H138,'Итоговые расчеты модели'!H142/20*3,IF($D$4='Итоговые расчеты модели'!I138,'Итоговые расчеты модели'!I142/20*3,IF($D$4='Итоговые расчеты модели'!J138,'Итоговые расчеты модели'!J142/20*3,IF($D$4='Итоговые расчеты модели'!K138,'Итоговые расчеты модели'!K142/20*3,IF($D$4='Итоговые расчеты модели'!L138,'Итоговые расчеты модели'!L142/20*3,'Итоговые расчеты модели'!M142/20*3))))))))))),0)</f>
        <v>0</v>
      </c>
      <c r="E19" s="274"/>
      <c r="F19" s="271"/>
      <c r="G19" s="239"/>
      <c r="H19" s="16"/>
      <c r="I19" s="14"/>
      <c r="J19" s="14"/>
      <c r="K19" s="14"/>
      <c r="L19" s="14"/>
      <c r="M19" s="14"/>
      <c r="N19" s="14"/>
      <c r="O19" s="12"/>
      <c r="P19" s="12"/>
      <c r="Q19" s="12"/>
      <c r="R19" s="12"/>
      <c r="S19" s="12"/>
    </row>
    <row r="20" spans="1:19" s="13" customFormat="1" x14ac:dyDescent="0.25">
      <c r="A20" s="11"/>
      <c r="B20" s="15" t="s">
        <v>225</v>
      </c>
      <c r="C20" s="11" t="str">
        <f>C10</f>
        <v>тыс. руб.</v>
      </c>
      <c r="D20" s="273">
        <f>IF(D4='Итоговые расчеты модели'!B138,'Итоговые расчеты модели'!B144,IF(D4='Итоговые расчеты модели'!C138,'Итоговые расчеты модели'!C144,IF($D$4='Итоговые расчеты модели'!D138,'Итоговые расчеты модели'!D144,IF($D$4='Итоговые расчеты модели'!E138,'Итоговые расчеты модели'!E144,IF($D$4='Итоговые расчеты модели'!F138,'Итоговые расчеты модели'!F144,IF($D$4='Итоговые расчеты модели'!G138,'Итоговые расчеты модели'!G144,IF($D$4='Итоговые расчеты модели'!H138,'Итоговые расчеты модели'!H144,IF($D$4='Итоговые расчеты модели'!I138,'Итоговые расчеты модели'!I144,IF($D$4='Итоговые расчеты модели'!J138,'Итоговые расчеты модели'!J144,IF($D$4='Итоговые расчеты модели'!K138,'Итоговые расчеты модели'!K144,IF($D$4='Итоговые расчеты модели'!L138,'Итоговые расчеты модели'!L144,'Итоговые расчеты модели'!M144)))))))))))</f>
        <v>0</v>
      </c>
      <c r="E20" s="274"/>
      <c r="F20" s="271"/>
      <c r="G20" s="239"/>
      <c r="H20" s="16"/>
      <c r="I20" s="14"/>
      <c r="J20" s="14"/>
      <c r="K20" s="14"/>
      <c r="L20" s="14"/>
      <c r="M20" s="14"/>
      <c r="N20" s="14"/>
      <c r="O20" s="12"/>
      <c r="P20" s="12"/>
      <c r="Q20" s="12"/>
      <c r="R20" s="12"/>
      <c r="S20" s="12"/>
    </row>
    <row r="21" spans="1:19" s="13" customFormat="1" x14ac:dyDescent="0.25">
      <c r="A21" s="11">
        <v>7</v>
      </c>
      <c r="B21" s="258" t="s">
        <v>277</v>
      </c>
      <c r="C21" s="272"/>
      <c r="D21" s="20"/>
      <c r="E21" s="20"/>
      <c r="F21" s="20"/>
      <c r="G21" s="20"/>
      <c r="H21" s="21"/>
      <c r="I21" s="14"/>
      <c r="J21" s="14"/>
      <c r="K21" s="14"/>
      <c r="L21" s="14"/>
      <c r="M21" s="14"/>
      <c r="N21" s="14"/>
      <c r="O21" s="12"/>
      <c r="P21" s="12"/>
      <c r="Q21" s="12"/>
      <c r="R21" s="12"/>
      <c r="S21" s="12"/>
    </row>
    <row r="22" spans="1:19" s="13" customFormat="1" x14ac:dyDescent="0.25">
      <c r="A22" s="11"/>
      <c r="B22" s="15" t="s">
        <v>279</v>
      </c>
      <c r="C22" s="11" t="str">
        <f>C20</f>
        <v>тыс. руб.</v>
      </c>
      <c r="D22" s="273">
        <f>IF(D17='Данные Заявителя'!A95,IF(D4='Итоговые расчеты модели'!B138,'Итоговые расчеты модели'!B142/20*17,IF(D4='Итоговые расчеты модели'!C138,'Итоговые расчеты модели'!C142/20*17,IF($D$4='Итоговые расчеты модели'!D138,'Итоговые расчеты модели'!D142/20*17,IF($D$4='Итоговые расчеты модели'!E138,'Итоговые расчеты модели'!E142/20*17,IF($D$4='Итоговые расчеты модели'!F138,'Итоговые расчеты модели'!F142/20*17,IF($D$4='Итоговые расчеты модели'!G138,'Итоговые расчеты модели'!G142/20*17,IF($D$4='Итоговые расчеты модели'!H138,'Итоговые расчеты модели'!H142/20*17,IF($D$4='Итоговые расчеты модели'!I138,'Итоговые расчеты модели'!I142/20*17,IF($D$4='Итоговые расчеты модели'!J138,'Итоговые расчеты модели'!J142/20*17,IF($D$4='Итоговые расчеты модели'!K138,'Итоговые расчеты модели'!K142/20*17,IF($D$4='Итоговые расчеты модели'!L138,'Итоговые расчеты модели'!L142/20*17,'Итоговые расчеты модели'!M142/20*17))))))))))),0)</f>
        <v>0</v>
      </c>
      <c r="E22" s="274"/>
      <c r="F22" s="238"/>
      <c r="G22" s="239"/>
      <c r="H22" s="16"/>
      <c r="I22" s="14"/>
      <c r="J22" s="14"/>
      <c r="K22" s="14"/>
      <c r="L22" s="14"/>
      <c r="M22" s="14"/>
      <c r="N22" s="14"/>
      <c r="O22" s="12"/>
      <c r="P22" s="12"/>
      <c r="Q22" s="12"/>
      <c r="R22" s="12"/>
      <c r="S22" s="12"/>
    </row>
    <row r="23" spans="1:19" s="13" customFormat="1" x14ac:dyDescent="0.25">
      <c r="A23" s="11"/>
      <c r="B23" s="15" t="s">
        <v>281</v>
      </c>
      <c r="C23" s="11" t="str">
        <f>C22</f>
        <v>тыс. руб.</v>
      </c>
      <c r="D23" s="273">
        <f>IF(D17='Данные Заявителя'!A95,0,IF(D4='Итоговые расчеты модели'!B138,'Итоговые расчеты модели'!B142,IF(D4='Итоговые расчеты модели'!C138,'Итоговые расчеты модели'!C142,IF($D$4='Итоговые расчеты модели'!D138,'Итоговые расчеты модели'!D142,IF($D$4='Итоговые расчеты модели'!E138,'Итоговые расчеты модели'!E142,IF($D$4='Итоговые расчеты модели'!F138,'Итоговые расчеты модели'!F142,IF($D$4='Итоговые расчеты модели'!G138,'Итоговые расчеты модели'!G142,IF($D$4='Итоговые расчеты модели'!H138,'Итоговые расчеты модели'!H142,IF($D$4='Итоговые расчеты модели'!I138,'Итоговые расчеты модели'!I142,IF($D$4='Итоговые расчеты модели'!J138,'Итоговые расчеты модели'!J142,IF($D$4='Итоговые расчеты модели'!K138,'Итоговые расчеты модели'!K142,IF($D$4='Итоговые расчеты модели'!L138,'Итоговые расчеты модели'!L142,'Итоговые расчеты модели'!M142))))))))))))</f>
        <v>0</v>
      </c>
      <c r="E23" s="274"/>
      <c r="F23" s="238"/>
      <c r="G23" s="239"/>
      <c r="H23" s="16"/>
      <c r="I23" s="14"/>
      <c r="J23" s="14"/>
      <c r="K23" s="14"/>
      <c r="L23" s="14"/>
      <c r="M23" s="14"/>
      <c r="N23" s="14"/>
      <c r="O23" s="12"/>
      <c r="P23" s="12"/>
      <c r="Q23" s="12"/>
      <c r="R23" s="12"/>
      <c r="S23" s="12"/>
    </row>
    <row r="24" spans="1:19" s="13" customFormat="1" x14ac:dyDescent="0.25">
      <c r="A24" s="11"/>
      <c r="B24" s="15" t="s">
        <v>282</v>
      </c>
      <c r="C24" s="11" t="str">
        <f>C23</f>
        <v>тыс. руб.</v>
      </c>
      <c r="D24" s="273">
        <f>IF(D4='Итоговые расчеты модели'!B138,'Итоговые расчеты модели'!B143*85%,IF(D4='Итоговые расчеты модели'!C138,'Итоговые расчеты модели'!C143*85%,IF($D$4='Итоговые расчеты модели'!D138,'Итоговые расчеты модели'!D143*85%,IF($D$4='Итоговые расчеты модели'!E138,'Итоговые расчеты модели'!E143*85%,IF($D$4='Итоговые расчеты модели'!F138,'Итоговые расчеты модели'!F143*85%,IF($D$4='Итоговые расчеты модели'!G138,'Итоговые расчеты модели'!G143*85%,IF($D$4='Итоговые расчеты модели'!H138,'Итоговые расчеты модели'!H143*85%,IF($D$4='Итоговые расчеты модели'!I138,'Итоговые расчеты модели'!I143*85%,IF($D$4='Итоговые расчеты модели'!J138,'Итоговые расчеты модели'!J143*85%,IF($D$4='Итоговые расчеты модели'!K138,'Итоговые расчеты модели'!K143*85%,IF($D$4='Итоговые расчеты модели'!L138,'Итоговые расчеты модели'!L143*85%,'Итоговые расчеты модели'!M143*85%)))))))))))</f>
        <v>38.674999999999997</v>
      </c>
      <c r="E24" s="274"/>
      <c r="F24" s="238"/>
      <c r="G24" s="239"/>
      <c r="H24" s="16"/>
      <c r="I24" s="14"/>
      <c r="J24" s="14"/>
      <c r="K24" s="14"/>
      <c r="L24" s="14"/>
      <c r="M24" s="14"/>
      <c r="N24" s="14"/>
      <c r="O24" s="12"/>
      <c r="P24" s="12"/>
      <c r="Q24" s="12"/>
      <c r="R24" s="12"/>
      <c r="S24" s="12"/>
    </row>
    <row r="25" spans="1:19" s="13" customFormat="1" x14ac:dyDescent="0.25">
      <c r="A25" s="11">
        <v>8</v>
      </c>
      <c r="B25" s="258" t="s">
        <v>278</v>
      </c>
      <c r="C25" s="272"/>
      <c r="D25" s="20"/>
      <c r="E25" s="20"/>
      <c r="F25" s="20"/>
      <c r="G25" s="20"/>
      <c r="H25" s="21"/>
      <c r="I25" s="14"/>
      <c r="J25" s="14"/>
      <c r="K25" s="14"/>
      <c r="L25" s="14"/>
      <c r="M25" s="14"/>
      <c r="N25" s="14"/>
      <c r="O25" s="12"/>
      <c r="P25" s="12"/>
      <c r="Q25" s="12"/>
      <c r="R25" s="12"/>
      <c r="S25" s="12"/>
    </row>
    <row r="26" spans="1:19" s="13" customFormat="1" x14ac:dyDescent="0.25">
      <c r="A26" s="11"/>
      <c r="B26" s="15" t="s">
        <v>283</v>
      </c>
      <c r="C26" s="11" t="str">
        <f>C24</f>
        <v>тыс. руб.</v>
      </c>
      <c r="D26" s="273">
        <f>IF(D4='Итоговые расчеты модели'!B138,'Итоговые расчеты модели'!B143*15%,IF(D4='Итоговые расчеты модели'!C138,'Итоговые расчеты модели'!C143*15%,IF($D$4='Итоговые расчеты модели'!D138,'Итоговые расчеты модели'!D143*15%,IF($D$4='Итоговые расчеты модели'!E138,'Итоговые расчеты модели'!E143*15%,IF($D$4='Итоговые расчеты модели'!F138,'Итоговые расчеты модели'!F143*15%,IF($D$4='Итоговые расчеты модели'!G138,'Итоговые расчеты модели'!G143*15%,IF($D$4='Итоговые расчеты модели'!H138,'Итоговые расчеты модели'!H143*15%,IF($D$4='Итоговые расчеты модели'!I138,'Итоговые расчеты модели'!I143*15%,IF($D$4='Итоговые расчеты модели'!J138,'Итоговые расчеты модели'!J143*15%,IF($D$4='Итоговые расчеты модели'!K138,'Итоговые расчеты модели'!K143*15%,IF($D$4='Итоговые расчеты модели'!L138,'Итоговые расчеты модели'!L143*15%,'Итоговые расчеты модели'!M143*15%)))))))))))</f>
        <v>6.8250000000000002</v>
      </c>
      <c r="E26" s="274"/>
      <c r="F26" s="238"/>
      <c r="G26" s="239"/>
      <c r="H26" s="16"/>
      <c r="I26" s="14"/>
      <c r="J26" s="14"/>
      <c r="K26" s="14"/>
      <c r="L26" s="14"/>
      <c r="M26" s="14"/>
      <c r="N26" s="14"/>
      <c r="O26" s="12"/>
      <c r="P26" s="12"/>
      <c r="Q26" s="12"/>
      <c r="R26" s="12"/>
      <c r="S26" s="12"/>
    </row>
    <row r="27" spans="1:19" s="13" customFormat="1" x14ac:dyDescent="0.25">
      <c r="A27" s="11">
        <v>9</v>
      </c>
      <c r="B27" s="258" t="s">
        <v>284</v>
      </c>
      <c r="C27" s="272"/>
      <c r="D27" s="20"/>
      <c r="E27" s="20"/>
      <c r="F27" s="20"/>
      <c r="G27" s="20"/>
      <c r="H27" s="21"/>
      <c r="I27" s="14"/>
      <c r="J27" s="14"/>
      <c r="K27" s="14"/>
      <c r="L27" s="14"/>
      <c r="M27" s="14"/>
      <c r="N27" s="14"/>
      <c r="O27" s="12"/>
      <c r="P27" s="12"/>
      <c r="Q27" s="12"/>
      <c r="R27" s="12"/>
      <c r="S27" s="12"/>
    </row>
    <row r="28" spans="1:19" s="13" customFormat="1" x14ac:dyDescent="0.25">
      <c r="A28" s="11"/>
      <c r="B28" s="22" t="s">
        <v>295</v>
      </c>
      <c r="C28" s="11" t="str">
        <f>C26</f>
        <v>тыс. руб.</v>
      </c>
      <c r="D28" s="273">
        <f>IF(D4='Итоговые расчеты модели'!B138,'Итоговые расчеты модели'!B145,IF(D4='Итоговые расчеты модели'!C138,'Итоговые расчеты модели'!C145,IF($D$4='Итоговые расчеты модели'!D138,'Итоговые расчеты модели'!D145,IF($D$4='Итоговые расчеты модели'!E138,'Итоговые расчеты модели'!E145,IF($D$4='Итоговые расчеты модели'!F138,'Итоговые расчеты модели'!F145,IF($D$4='Итоговые расчеты модели'!G138,'Итоговые расчеты модели'!G145,IF($D$4='Итоговые расчеты модели'!H138,'Итоговые расчеты модели'!H145,IF($D$4='Итоговые расчеты модели'!I138,'Итоговые расчеты модели'!I145,IF($D$4='Итоговые расчеты модели'!J138,'Итоговые расчеты модели'!J145,IF($D$4='Итоговые расчеты модели'!K138,'Итоговые расчеты модели'!K145,IF($D$4='Итоговые расчеты модели'!L138,'Итоговые расчеты модели'!L145,'Итоговые расчеты модели'!M145)))))))))))</f>
        <v>77</v>
      </c>
      <c r="E28" s="274"/>
      <c r="F28" s="238"/>
      <c r="G28" s="239"/>
      <c r="H28" s="16"/>
      <c r="I28" s="14"/>
      <c r="J28" s="14"/>
      <c r="K28" s="14"/>
      <c r="L28" s="14"/>
      <c r="M28" s="14"/>
      <c r="N28" s="14"/>
      <c r="O28" s="12"/>
      <c r="P28" s="12"/>
      <c r="Q28" s="12"/>
      <c r="R28" s="12"/>
      <c r="S28" s="12"/>
    </row>
    <row r="29" spans="1:19" s="13" customFormat="1" x14ac:dyDescent="0.25">
      <c r="A29" s="11"/>
      <c r="B29" s="22" t="s">
        <v>226</v>
      </c>
      <c r="C29" s="11" t="str">
        <f>C28</f>
        <v>тыс. руб.</v>
      </c>
      <c r="D29" s="273">
        <f>IF(D4='Итоговые расчеты модели'!B138,'Итоговые расчеты модели'!B146,IF(D4='Итоговые расчеты модели'!C138,'Итоговые расчеты модели'!C146,IF($D$4='Итоговые расчеты модели'!D138,'Итоговые расчеты модели'!D146,IF($D$4='Итоговые расчеты модели'!E138,'Итоговые расчеты модели'!E146,IF($D$4='Итоговые расчеты модели'!F138,'Итоговые расчеты модели'!F146,IF($D$4='Итоговые расчеты модели'!G138,'Итоговые расчеты модели'!G146,IF($D$4='Итоговые расчеты модели'!H138,'Итоговые расчеты модели'!H146,IF($D$4='Итоговые расчеты модели'!I138,'Итоговые расчеты модели'!I146,IF($D$4='Итоговые расчеты модели'!J138,'Итоговые расчеты модели'!J146,IF($D$4='Итоговые расчеты модели'!K138,'Итоговые расчеты модели'!K146,IF($D$4='Итоговые расчеты модели'!L138,'Итоговые расчеты модели'!L146,'Итоговые расчеты модели'!M146)))))))))))</f>
        <v>17.849999999999998</v>
      </c>
      <c r="E29" s="274"/>
      <c r="F29" s="238"/>
      <c r="G29" s="239"/>
      <c r="H29" s="16"/>
      <c r="I29" s="14"/>
      <c r="J29" s="14"/>
      <c r="K29" s="14"/>
      <c r="L29" s="14"/>
      <c r="M29" s="14"/>
      <c r="N29" s="14"/>
      <c r="O29" s="12"/>
      <c r="P29" s="12"/>
      <c r="Q29" s="12"/>
      <c r="R29" s="12"/>
      <c r="S29" s="12"/>
    </row>
    <row r="30" spans="1:19" s="13" customFormat="1" x14ac:dyDescent="0.25">
      <c r="A30" s="11"/>
      <c r="B30" s="22" t="s">
        <v>227</v>
      </c>
      <c r="C30" s="11" t="str">
        <f>C28</f>
        <v>тыс. руб.</v>
      </c>
      <c r="D30" s="273">
        <f>IF(D4='Итоговые расчеты модели'!B138,'Итоговые расчеты модели'!B147,IF(D4='Итоговые расчеты модели'!C138,'Итоговые расчеты модели'!C147,IF($D$4='Итоговые расчеты модели'!D138,'Итоговые расчеты модели'!D147,IF($D$4='Итоговые расчеты модели'!E138,'Итоговые расчеты модели'!E147,IF($D$4='Итоговые расчеты модели'!F138,'Итоговые расчеты модели'!F147,IF($D$4='Итоговые расчеты модели'!G138,'Итоговые расчеты модели'!G147,IF($D$4='Итоговые расчеты модели'!H138,'Итоговые расчеты модели'!H147,IF($D$4='Итоговые расчеты модели'!I138,'Итоговые расчеты модели'!I147,IF($D$4='Итоговые расчеты модели'!J138,'Итоговые расчеты модели'!J147,IF($D$4='Итоговые расчеты модели'!K138,'Итоговые расчеты модели'!K147,IF($D$4='Итоговые расчеты модели'!L138,'Итоговые расчеты модели'!L147,'Итоговые расчеты модели'!M147)))))))))))</f>
        <v>10.15</v>
      </c>
      <c r="E30" s="274"/>
      <c r="F30" s="238"/>
      <c r="G30" s="239"/>
      <c r="H30" s="16"/>
      <c r="I30" s="14"/>
      <c r="J30" s="14"/>
      <c r="K30" s="14"/>
      <c r="L30" s="14"/>
      <c r="M30" s="14"/>
      <c r="N30" s="14"/>
      <c r="O30" s="12"/>
      <c r="P30" s="12"/>
      <c r="Q30" s="12"/>
      <c r="R30" s="12"/>
      <c r="S30" s="12"/>
    </row>
    <row r="31" spans="1:19" s="13" customFormat="1" x14ac:dyDescent="0.25">
      <c r="A31" s="11"/>
      <c r="B31" s="22" t="s">
        <v>228</v>
      </c>
      <c r="C31" s="11" t="str">
        <f>C30</f>
        <v>тыс. руб.</v>
      </c>
      <c r="D31" s="273">
        <f>IF(D4='Итоговые расчеты модели'!B138,'Итоговые расчеты модели'!B148,IF(D4='Итоговые расчеты модели'!C138,'Итоговые расчеты модели'!C148,IF($D$4='Итоговые расчеты модели'!D138,'Итоговые расчеты модели'!D148,IF($D$4='Итоговые расчеты модели'!E138,'Итоговые расчеты модели'!E148,IF($D$4='Итоговые расчеты модели'!F138,'Итоговые расчеты модели'!F148,IF($D$4='Итоговые расчеты модели'!G138,'Итоговые расчеты модели'!G148,IF($D$4='Итоговые расчеты модели'!H138,'Итоговые расчеты модели'!H148,IF($D$4='Итоговые расчеты модели'!I138,'Итоговые расчеты модели'!I148,IF($D$4='Итоговые расчеты модели'!J138,'Итоговые расчеты модели'!J148,IF($D$4='Итоговые расчеты модели'!K138,'Итоговые расчеты модели'!K148,IF($D$4='Итоговые расчеты модели'!L138,'Итоговые расчеты модели'!L148,'Итоговые расчеты модели'!M148)))))))))))</f>
        <v>0.70000000000000007</v>
      </c>
      <c r="E31" s="274"/>
      <c r="F31" s="238"/>
      <c r="G31" s="239"/>
      <c r="H31" s="16"/>
      <c r="I31" s="14"/>
      <c r="J31" s="14"/>
      <c r="K31" s="14"/>
      <c r="L31" s="14"/>
      <c r="M31" s="14"/>
      <c r="N31" s="14"/>
      <c r="O31" s="12"/>
      <c r="P31" s="12"/>
      <c r="Q31" s="12"/>
      <c r="R31" s="12"/>
      <c r="S31" s="12"/>
    </row>
    <row r="32" spans="1:19" s="13" customFormat="1" x14ac:dyDescent="0.25">
      <c r="A32" s="11">
        <v>10</v>
      </c>
      <c r="B32" s="15" t="s">
        <v>286</v>
      </c>
      <c r="C32" s="11" t="str">
        <f>C31</f>
        <v>тыс. руб.</v>
      </c>
      <c r="D32" s="273">
        <f>IF(D4='Итоговые расчеты модели'!B138,'Итоговые расчеты модели'!B150,IF(D4='Итоговые расчеты модели'!C138,'Итоговые расчеты модели'!C150,IF($D$4='Итоговые расчеты модели'!D138,'Итоговые расчеты модели'!D150,IF($D$4='Итоговые расчеты модели'!E138,'Итоговые расчеты модели'!E150,IF($D$4='Итоговые расчеты модели'!F138,'Итоговые расчеты модели'!F150,IF($D$4='Итоговые расчеты модели'!G138,'Итоговые расчеты модели'!G150,IF($D$4='Итоговые расчеты модели'!H138,'Итоговые расчеты модели'!H150,IF($D$4='Итоговые расчеты модели'!I138,'Итоговые расчеты модели'!I150,IF($D$4='Итоговые расчеты модели'!J138,'Итоговые расчеты модели'!J150,IF($D$4='Итоговые расчеты модели'!K138,'Итоговые расчеты модели'!K150,IF($D$4='Итоговые расчеты модели'!L138,'Итоговые расчеты модели'!L150,'Итоговые расчеты модели'!M150)))))))))))</f>
        <v>38.888888888888886</v>
      </c>
      <c r="E32" s="274"/>
      <c r="F32" s="238"/>
      <c r="G32" s="239"/>
      <c r="H32" s="16"/>
      <c r="I32" s="14"/>
      <c r="J32" s="14"/>
      <c r="K32" s="14"/>
      <c r="L32" s="14"/>
      <c r="M32" s="14"/>
      <c r="N32" s="14"/>
      <c r="O32" s="12"/>
      <c r="P32" s="12"/>
      <c r="Q32" s="12"/>
      <c r="R32" s="12"/>
      <c r="S32" s="12"/>
    </row>
    <row r="33" spans="1:19" s="13" customFormat="1" x14ac:dyDescent="0.25">
      <c r="A33" s="11">
        <v>11</v>
      </c>
      <c r="B33" s="245" t="s">
        <v>259</v>
      </c>
      <c r="C33" s="246"/>
      <c r="D33" s="238"/>
      <c r="E33" s="239"/>
      <c r="F33" s="238"/>
      <c r="G33" s="239"/>
      <c r="H33" s="16"/>
      <c r="I33" s="14"/>
      <c r="J33" s="14"/>
      <c r="K33" s="14"/>
      <c r="L33" s="14"/>
      <c r="M33" s="14"/>
      <c r="N33" s="14"/>
      <c r="O33" s="12"/>
      <c r="P33" s="12"/>
      <c r="Q33" s="12"/>
      <c r="R33" s="12"/>
      <c r="S33" s="12"/>
    </row>
    <row r="34" spans="1:19" x14ac:dyDescent="0.25">
      <c r="A34" s="11">
        <v>12</v>
      </c>
      <c r="B34" s="258" t="s">
        <v>292</v>
      </c>
      <c r="C34" s="242"/>
      <c r="D34" s="275">
        <f>F16/D16</f>
        <v>0</v>
      </c>
      <c r="E34" s="276"/>
      <c r="F34" s="276"/>
      <c r="G34" s="277"/>
      <c r="H34" s="16"/>
      <c r="I34" s="14"/>
      <c r="J34" s="14"/>
      <c r="K34" s="14"/>
      <c r="L34" s="14"/>
      <c r="M34" s="14"/>
      <c r="N34" s="14"/>
      <c r="O34" s="12"/>
      <c r="P34" s="12"/>
      <c r="Q34" s="12"/>
      <c r="R34" s="12"/>
      <c r="S34" s="12"/>
    </row>
    <row r="35" spans="1:19" x14ac:dyDescent="0.25">
      <c r="A35" s="272" t="s">
        <v>260</v>
      </c>
      <c r="B35" s="272"/>
      <c r="C35" s="272"/>
      <c r="D35" s="272"/>
      <c r="E35" s="272"/>
      <c r="F35" s="272"/>
      <c r="G35" s="272"/>
      <c r="H35" s="242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x14ac:dyDescent="0.25">
      <c r="A36" s="247">
        <v>9</v>
      </c>
      <c r="B36" s="247" t="s">
        <v>261</v>
      </c>
      <c r="C36" s="15" t="s">
        <v>262</v>
      </c>
      <c r="D36" s="238"/>
      <c r="E36" s="244"/>
      <c r="F36" s="244"/>
      <c r="G36" s="244"/>
      <c r="H36" s="23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x14ac:dyDescent="0.25">
      <c r="A37" s="259"/>
      <c r="B37" s="259"/>
      <c r="C37" s="15" t="s">
        <v>263</v>
      </c>
      <c r="D37" s="238"/>
      <c r="E37" s="244"/>
      <c r="F37" s="244"/>
      <c r="G37" s="244"/>
      <c r="H37" s="23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x14ac:dyDescent="0.25">
      <c r="A38" s="259"/>
      <c r="B38" s="259"/>
      <c r="C38" s="15" t="s">
        <v>264</v>
      </c>
      <c r="D38" s="238"/>
      <c r="E38" s="244"/>
      <c r="F38" s="244"/>
      <c r="G38" s="244"/>
      <c r="H38" s="23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x14ac:dyDescent="0.25">
      <c r="A39" s="248"/>
      <c r="B39" s="248"/>
      <c r="C39" s="15" t="s">
        <v>61</v>
      </c>
      <c r="D39" s="238"/>
      <c r="E39" s="244"/>
      <c r="F39" s="244"/>
      <c r="G39" s="244"/>
      <c r="H39" s="23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47.25" customHeight="1" x14ac:dyDescent="0.25">
      <c r="A40" s="11">
        <v>10</v>
      </c>
      <c r="B40" s="245" t="s">
        <v>265</v>
      </c>
      <c r="C40" s="246"/>
      <c r="D40" s="238"/>
      <c r="E40" s="244"/>
      <c r="F40" s="244"/>
      <c r="G40" s="244"/>
      <c r="H40" s="239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47.25" customHeight="1" x14ac:dyDescent="0.25">
      <c r="A41" s="11">
        <v>11</v>
      </c>
      <c r="B41" s="245" t="s">
        <v>266</v>
      </c>
      <c r="C41" s="246"/>
      <c r="D41" s="238"/>
      <c r="E41" s="244"/>
      <c r="F41" s="244"/>
      <c r="G41" s="244"/>
      <c r="H41" s="239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47.25" customHeight="1" x14ac:dyDescent="0.25">
      <c r="A42" s="11">
        <v>12</v>
      </c>
      <c r="B42" s="245" t="s">
        <v>267</v>
      </c>
      <c r="C42" s="246"/>
      <c r="D42" s="238"/>
      <c r="E42" s="244"/>
      <c r="F42" s="244"/>
      <c r="G42" s="244"/>
      <c r="H42" s="23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x14ac:dyDescent="0.25">
      <c r="A43" s="247">
        <v>13</v>
      </c>
      <c r="B43" s="252" t="s">
        <v>296</v>
      </c>
      <c r="C43" s="253"/>
      <c r="D43" s="249" t="s">
        <v>305</v>
      </c>
      <c r="E43" s="250"/>
      <c r="F43" s="250"/>
      <c r="G43" s="250"/>
      <c r="H43" s="25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47.25" customHeight="1" x14ac:dyDescent="0.25">
      <c r="A44" s="248"/>
      <c r="B44" s="254"/>
      <c r="C44" s="255"/>
      <c r="D44" s="238"/>
      <c r="E44" s="244"/>
      <c r="F44" s="244"/>
      <c r="G44" s="244"/>
      <c r="H44" s="2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x14ac:dyDescent="0.25">
      <c r="N45" s="243"/>
      <c r="O45" s="243"/>
    </row>
    <row r="46" spans="1:19" x14ac:dyDescent="0.25">
      <c r="B46" s="4" t="s">
        <v>268</v>
      </c>
      <c r="D46" s="23"/>
      <c r="E46" s="23"/>
      <c r="F46" s="24"/>
      <c r="G46" s="23"/>
      <c r="H46" s="25"/>
      <c r="J46" s="12"/>
      <c r="K46" s="12"/>
      <c r="L46" s="12"/>
      <c r="M46" s="12"/>
      <c r="N46" s="236"/>
      <c r="O46" s="236"/>
      <c r="P46" s="236"/>
      <c r="Q46" s="236"/>
      <c r="R46" s="236"/>
    </row>
    <row r="47" spans="1:19" ht="18.75" x14ac:dyDescent="0.25">
      <c r="D47" s="278" t="s">
        <v>269</v>
      </c>
      <c r="E47" s="278"/>
      <c r="F47" s="26"/>
      <c r="G47" s="278" t="s">
        <v>288</v>
      </c>
      <c r="H47" s="278"/>
      <c r="J47" s="12"/>
      <c r="K47" s="12"/>
      <c r="L47" s="12"/>
      <c r="M47" s="12"/>
      <c r="N47" s="236"/>
      <c r="O47" s="236"/>
      <c r="P47" s="236"/>
      <c r="Q47" s="236"/>
      <c r="R47" s="236"/>
    </row>
    <row r="48" spans="1:19" ht="18.75" x14ac:dyDescent="0.25">
      <c r="A48" s="256"/>
      <c r="D48" s="27"/>
      <c r="E48" s="28" t="s">
        <v>270</v>
      </c>
      <c r="F48" s="27"/>
      <c r="G48" s="27"/>
      <c r="H48" s="27"/>
      <c r="I48" s="29"/>
      <c r="J48" s="29"/>
      <c r="K48" s="29"/>
      <c r="L48" s="29"/>
      <c r="M48" s="29"/>
      <c r="N48" s="236"/>
      <c r="O48" s="236"/>
      <c r="P48" s="236"/>
      <c r="Q48" s="236"/>
      <c r="R48" s="236"/>
      <c r="S48" s="236"/>
    </row>
    <row r="49" spans="1:19" x14ac:dyDescent="0.25">
      <c r="A49" s="256"/>
      <c r="I49" s="29"/>
      <c r="J49" s="29"/>
      <c r="K49" s="29"/>
      <c r="L49" s="29"/>
      <c r="M49" s="29"/>
      <c r="N49" s="236"/>
      <c r="O49" s="236"/>
      <c r="P49" s="236"/>
      <c r="Q49" s="236"/>
      <c r="R49" s="236"/>
      <c r="S49" s="236"/>
    </row>
    <row r="50" spans="1:19" x14ac:dyDescent="0.2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25">
      <c r="A51" s="32"/>
    </row>
  </sheetData>
  <sheetProtection algorithmName="SHA-512" hashValue="RENauSrEytZh/NCKP45P464zFrbAuTjj0Xtu7b5EfgQyJpe3s2PiGp491a75iPTbISENtwfkqxn48yE0Ellzpg==" saltValue="URNGJEpaebPR6okO9KEn9A==" spinCount="100000" sheet="1" formatCells="0" formatColumns="0" formatRows="0" insertColumns="0" insertRows="0" insertHyperlinks="0" deleteColumns="0" deleteRows="0" sort="0" autoFilter="0" pivotTables="0"/>
  <mergeCells count="87">
    <mergeCell ref="B34:C34"/>
    <mergeCell ref="B33:C33"/>
    <mergeCell ref="D34:G34"/>
    <mergeCell ref="D47:E47"/>
    <mergeCell ref="G47:H47"/>
    <mergeCell ref="A35:H35"/>
    <mergeCell ref="A36:A39"/>
    <mergeCell ref="B36:B39"/>
    <mergeCell ref="D40:H40"/>
    <mergeCell ref="B40:C40"/>
    <mergeCell ref="D33:E33"/>
    <mergeCell ref="F33:G33"/>
    <mergeCell ref="D36:H36"/>
    <mergeCell ref="D39:H39"/>
    <mergeCell ref="D38:H38"/>
    <mergeCell ref="D37:H37"/>
    <mergeCell ref="F26:G26"/>
    <mergeCell ref="F31:G31"/>
    <mergeCell ref="F30:G30"/>
    <mergeCell ref="F29:G29"/>
    <mergeCell ref="F28:G28"/>
    <mergeCell ref="F32:G32"/>
    <mergeCell ref="D31:E31"/>
    <mergeCell ref="D30:E30"/>
    <mergeCell ref="D29:E29"/>
    <mergeCell ref="D28:E28"/>
    <mergeCell ref="B18:C18"/>
    <mergeCell ref="B21:C21"/>
    <mergeCell ref="B17:C17"/>
    <mergeCell ref="B27:C27"/>
    <mergeCell ref="D32:E32"/>
    <mergeCell ref="D26:E26"/>
    <mergeCell ref="D22:E22"/>
    <mergeCell ref="D23:E23"/>
    <mergeCell ref="D24:E24"/>
    <mergeCell ref="D19:E19"/>
    <mergeCell ref="D20:E20"/>
    <mergeCell ref="B25:C25"/>
    <mergeCell ref="F19:G19"/>
    <mergeCell ref="F20:G20"/>
    <mergeCell ref="F22:G22"/>
    <mergeCell ref="F23:G23"/>
    <mergeCell ref="F24:G24"/>
    <mergeCell ref="A1:H1"/>
    <mergeCell ref="D7:E7"/>
    <mergeCell ref="F7:G7"/>
    <mergeCell ref="A11:A16"/>
    <mergeCell ref="D10:E10"/>
    <mergeCell ref="F8:G8"/>
    <mergeCell ref="B4:C4"/>
    <mergeCell ref="C11:C15"/>
    <mergeCell ref="D16:E16"/>
    <mergeCell ref="F16:G16"/>
    <mergeCell ref="D8:E8"/>
    <mergeCell ref="D9:E9"/>
    <mergeCell ref="B11:B16"/>
    <mergeCell ref="F10:G10"/>
    <mergeCell ref="D4:E4"/>
    <mergeCell ref="A48:A49"/>
    <mergeCell ref="N48:O49"/>
    <mergeCell ref="P48:R49"/>
    <mergeCell ref="S48:S49"/>
    <mergeCell ref="N46:O46"/>
    <mergeCell ref="P46:R46"/>
    <mergeCell ref="N47:O47"/>
    <mergeCell ref="P47:R47"/>
    <mergeCell ref="N45:O45"/>
    <mergeCell ref="D42:H42"/>
    <mergeCell ref="B42:C42"/>
    <mergeCell ref="A43:A44"/>
    <mergeCell ref="D41:H41"/>
    <mergeCell ref="B41:C41"/>
    <mergeCell ref="D43:H43"/>
    <mergeCell ref="D44:H44"/>
    <mergeCell ref="B43:C44"/>
    <mergeCell ref="N2:O2"/>
    <mergeCell ref="O17:S17"/>
    <mergeCell ref="O11:S11"/>
    <mergeCell ref="F9:G9"/>
    <mergeCell ref="B5:C5"/>
    <mergeCell ref="D5:H5"/>
    <mergeCell ref="I5:K5"/>
    <mergeCell ref="L5:M5"/>
    <mergeCell ref="N5:Q5"/>
    <mergeCell ref="R5:S5"/>
    <mergeCell ref="D17:E17"/>
    <mergeCell ref="F17:G17"/>
  </mergeCells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'Данные Заявителя'!$E$95:$E$106</xm:f>
          </x14:formula1>
          <xm:sqref>D4</xm:sqref>
        </x14:dataValidation>
        <x14:dataValidation type="list" allowBlank="1" showInputMessage="1" showErrorMessage="1">
          <x14:formula1>
            <xm:f>'Данные Заявителя'!$A$171:$A$178</xm:f>
          </x14:formula1>
          <xm:sqref>D43:H43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Заявителя</vt:lpstr>
      <vt:lpstr>Итоговые расчеты модели</vt:lpstr>
      <vt:lpstr>отчеты квартальные</vt:lpstr>
      <vt:lpstr>'Данные Заявителя'!Налоги</vt:lpstr>
      <vt:lpstr>'отчеты квартальные'!Область_печати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Муниципальный Фонд</dc:creator>
  <cp:lastModifiedBy>office4</cp:lastModifiedBy>
  <cp:lastPrinted>2020-01-14T07:44:07Z</cp:lastPrinted>
  <dcterms:created xsi:type="dcterms:W3CDTF">2015-06-05T18:19:34Z</dcterms:created>
  <dcterms:modified xsi:type="dcterms:W3CDTF">2020-02-19T06:26:57Z</dcterms:modified>
</cp:coreProperties>
</file>