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/>
  <bookViews>
    <workbookView xWindow="-120" yWindow="-120" windowWidth="20730" windowHeight="11160"/>
  </bookViews>
  <sheets>
    <sheet name="Данные Заявителя" sheetId="3" r:id="rId1"/>
    <sheet name="Итоговые расчеты модели" sheetId="4" r:id="rId2"/>
    <sheet name="отчеты квартальные" sheetId="5" r:id="rId3"/>
  </sheets>
  <definedNames>
    <definedName name="Налоги" comment="выбор системы налогообложения" localSheetId="0">'Данные Заявителя'!$A$93:$A$95</definedName>
    <definedName name="_xlnm.Print_Area" localSheetId="2">'отчеты квартальные'!$A$1:$H$49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5" l="1"/>
  <c r="C26" i="5"/>
  <c r="A12" i="3"/>
  <c r="B89" i="4" l="1"/>
  <c r="B86" i="4" l="1"/>
  <c r="L10" i="4"/>
  <c r="G10" i="4"/>
  <c r="B10" i="4"/>
  <c r="A18" i="4" l="1"/>
  <c r="D17" i="5" l="1"/>
  <c r="C20" i="5"/>
  <c r="C22" i="5" s="1"/>
  <c r="C23" i="5" s="1"/>
  <c r="C24" i="5" s="1"/>
  <c r="C29" i="5" s="1"/>
  <c r="C19" i="5"/>
  <c r="D3" i="5"/>
  <c r="D27" i="5" l="1"/>
  <c r="C30" i="5"/>
  <c r="C31" i="5"/>
  <c r="C32" i="5" s="1"/>
  <c r="C33" i="5" s="1"/>
  <c r="B130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D8" i="5" s="1"/>
  <c r="A290" i="4"/>
  <c r="C130" i="4" l="1"/>
  <c r="D130" i="4" s="1"/>
  <c r="E130" i="4" s="1"/>
  <c r="F130" i="4" s="1"/>
  <c r="G130" i="4" s="1"/>
  <c r="H130" i="4" s="1"/>
  <c r="I130" i="4" s="1"/>
  <c r="J130" i="4" s="1"/>
  <c r="K130" i="4" s="1"/>
  <c r="L130" i="4" s="1"/>
  <c r="M130" i="4" s="1"/>
  <c r="C71" i="4"/>
  <c r="D71" i="4"/>
  <c r="E71" i="4"/>
  <c r="F71" i="4"/>
  <c r="G71" i="4"/>
  <c r="H71" i="4"/>
  <c r="I71" i="4"/>
  <c r="J71" i="4"/>
  <c r="K71" i="4"/>
  <c r="L71" i="4"/>
  <c r="M71" i="4"/>
  <c r="B71" i="4"/>
  <c r="C67" i="4"/>
  <c r="D67" i="4"/>
  <c r="E67" i="4"/>
  <c r="E66" i="4" s="1"/>
  <c r="F67" i="4"/>
  <c r="F66" i="4" s="1"/>
  <c r="G67" i="4"/>
  <c r="G66" i="4" s="1"/>
  <c r="H67" i="4"/>
  <c r="H66" i="4" s="1"/>
  <c r="I67" i="4"/>
  <c r="I66" i="4" s="1"/>
  <c r="J67" i="4"/>
  <c r="J66" i="4" s="1"/>
  <c r="K67" i="4"/>
  <c r="K66" i="4" s="1"/>
  <c r="L67" i="4"/>
  <c r="L66" i="4" s="1"/>
  <c r="M67" i="4"/>
  <c r="M66" i="4" s="1"/>
  <c r="B67" i="4"/>
  <c r="N61" i="4"/>
  <c r="B74" i="4"/>
  <c r="N74" i="4" s="1"/>
  <c r="B68" i="4"/>
  <c r="N68" i="4" s="1"/>
  <c r="F63" i="4"/>
  <c r="F62" i="4" s="1"/>
  <c r="F64" i="4" s="1"/>
  <c r="F82" i="4" s="1"/>
  <c r="D63" i="4"/>
  <c r="D62" i="4" s="1"/>
  <c r="D64" i="4" s="1"/>
  <c r="D82" i="4" s="1"/>
  <c r="C63" i="4"/>
  <c r="C62" i="4" s="1"/>
  <c r="C64" i="4" s="1"/>
  <c r="C82" i="4" s="1"/>
  <c r="B63" i="4"/>
  <c r="B62" i="4" s="1"/>
  <c r="B64" i="4" s="1"/>
  <c r="D66" i="4"/>
  <c r="C66" i="4"/>
  <c r="M63" i="4"/>
  <c r="M62" i="4" s="1"/>
  <c r="M64" i="4" s="1"/>
  <c r="M82" i="4" s="1"/>
  <c r="L63" i="4"/>
  <c r="L62" i="4" s="1"/>
  <c r="L64" i="4" s="1"/>
  <c r="L82" i="4" s="1"/>
  <c r="K63" i="4"/>
  <c r="K62" i="4" s="1"/>
  <c r="K64" i="4" s="1"/>
  <c r="K82" i="4" s="1"/>
  <c r="J63" i="4"/>
  <c r="J62" i="4" s="1"/>
  <c r="J64" i="4" s="1"/>
  <c r="J82" i="4" s="1"/>
  <c r="I63" i="4"/>
  <c r="I62" i="4" s="1"/>
  <c r="I64" i="4" s="1"/>
  <c r="I82" i="4" s="1"/>
  <c r="H63" i="4"/>
  <c r="H62" i="4" s="1"/>
  <c r="H64" i="4" s="1"/>
  <c r="H82" i="4" s="1"/>
  <c r="G63" i="4"/>
  <c r="G62" i="4" s="1"/>
  <c r="G64" i="4" s="1"/>
  <c r="G82" i="4" s="1"/>
  <c r="E63" i="4"/>
  <c r="E62" i="4" s="1"/>
  <c r="E64" i="4" s="1"/>
  <c r="E82" i="4" s="1"/>
  <c r="O36" i="4"/>
  <c r="N36" i="4"/>
  <c r="M36" i="4"/>
  <c r="L36" i="4"/>
  <c r="J36" i="4"/>
  <c r="I36" i="4"/>
  <c r="H36" i="4"/>
  <c r="G36" i="4"/>
  <c r="E36" i="4"/>
  <c r="D36" i="4"/>
  <c r="C36" i="4"/>
  <c r="B36" i="4"/>
  <c r="L13" i="4"/>
  <c r="M13" i="4"/>
  <c r="N13" i="4"/>
  <c r="O13" i="4"/>
  <c r="L14" i="4"/>
  <c r="M14" i="4"/>
  <c r="N14" i="4"/>
  <c r="O14" i="4"/>
  <c r="L15" i="4"/>
  <c r="M15" i="4"/>
  <c r="N15" i="4"/>
  <c r="O15" i="4"/>
  <c r="L16" i="4"/>
  <c r="M16" i="4"/>
  <c r="N16" i="4"/>
  <c r="O16" i="4"/>
  <c r="L17" i="4"/>
  <c r="M17" i="4"/>
  <c r="N17" i="4"/>
  <c r="O17" i="4"/>
  <c r="L18" i="4"/>
  <c r="M18" i="4"/>
  <c r="N18" i="4"/>
  <c r="O18" i="4"/>
  <c r="G13" i="4"/>
  <c r="H13" i="4"/>
  <c r="I13" i="4"/>
  <c r="J13" i="4"/>
  <c r="G14" i="4"/>
  <c r="H14" i="4"/>
  <c r="I14" i="4"/>
  <c r="J14" i="4"/>
  <c r="G15" i="4"/>
  <c r="H15" i="4"/>
  <c r="I15" i="4"/>
  <c r="J15" i="4"/>
  <c r="G16" i="4"/>
  <c r="H16" i="4"/>
  <c r="I16" i="4"/>
  <c r="J16" i="4"/>
  <c r="G17" i="4"/>
  <c r="H17" i="4"/>
  <c r="I17" i="4"/>
  <c r="J17" i="4"/>
  <c r="G18" i="4"/>
  <c r="H18" i="4"/>
  <c r="I18" i="4"/>
  <c r="J18" i="4"/>
  <c r="B13" i="4"/>
  <c r="C13" i="4"/>
  <c r="D13" i="4"/>
  <c r="E13" i="4"/>
  <c r="B14" i="4"/>
  <c r="C14" i="4"/>
  <c r="D14" i="4"/>
  <c r="E14" i="4"/>
  <c r="B15" i="4"/>
  <c r="C15" i="4"/>
  <c r="D15" i="4"/>
  <c r="E15" i="4"/>
  <c r="B16" i="4"/>
  <c r="C16" i="4"/>
  <c r="D16" i="4"/>
  <c r="E16" i="4"/>
  <c r="B17" i="4"/>
  <c r="C17" i="4"/>
  <c r="D17" i="4"/>
  <c r="E17" i="4"/>
  <c r="B18" i="4"/>
  <c r="C18" i="4"/>
  <c r="D18" i="4"/>
  <c r="E18" i="4"/>
  <c r="O12" i="4"/>
  <c r="N12" i="4"/>
  <c r="M12" i="4"/>
  <c r="L12" i="4"/>
  <c r="J12" i="4"/>
  <c r="I12" i="4"/>
  <c r="H12" i="4"/>
  <c r="G12" i="4"/>
  <c r="E12" i="4"/>
  <c r="D12" i="4"/>
  <c r="C12" i="4"/>
  <c r="B12" i="4"/>
  <c r="L87" i="4"/>
  <c r="L290" i="4" s="1"/>
  <c r="B5" i="4"/>
  <c r="B42" i="4" s="1"/>
  <c r="D16" i="5" l="1"/>
  <c r="D35" i="5" s="1"/>
  <c r="C55" i="4"/>
  <c r="C54" i="4" s="1"/>
  <c r="C118" i="4"/>
  <c r="E55" i="4"/>
  <c r="E54" i="4" s="1"/>
  <c r="E118" i="4"/>
  <c r="G55" i="4"/>
  <c r="G54" i="4" s="1"/>
  <c r="G118" i="4"/>
  <c r="I55" i="4"/>
  <c r="I54" i="4" s="1"/>
  <c r="I118" i="4"/>
  <c r="K55" i="4"/>
  <c r="K54" i="4" s="1"/>
  <c r="K118" i="4"/>
  <c r="M55" i="4"/>
  <c r="M54" i="4" s="1"/>
  <c r="M118" i="4"/>
  <c r="B55" i="4"/>
  <c r="B54" i="4" s="1"/>
  <c r="B118" i="4"/>
  <c r="D9" i="5" s="1"/>
  <c r="D55" i="4"/>
  <c r="D54" i="4" s="1"/>
  <c r="D118" i="4"/>
  <c r="F55" i="4"/>
  <c r="F54" i="4" s="1"/>
  <c r="F118" i="4"/>
  <c r="H55" i="4"/>
  <c r="H54" i="4" s="1"/>
  <c r="H118" i="4"/>
  <c r="J55" i="4"/>
  <c r="J54" i="4" s="1"/>
  <c r="J118" i="4"/>
  <c r="L55" i="4"/>
  <c r="L54" i="4" s="1"/>
  <c r="L118" i="4"/>
  <c r="L288" i="4"/>
  <c r="C87" i="4"/>
  <c r="C290" i="4" s="1"/>
  <c r="C288" i="4" s="1"/>
  <c r="E87" i="4"/>
  <c r="E290" i="4" s="1"/>
  <c r="E288" i="4" s="1"/>
  <c r="G87" i="4"/>
  <c r="G290" i="4" s="1"/>
  <c r="G288" i="4" s="1"/>
  <c r="I87" i="4"/>
  <c r="I290" i="4" s="1"/>
  <c r="I288" i="4" s="1"/>
  <c r="K87" i="4"/>
  <c r="K290" i="4" s="1"/>
  <c r="K288" i="4" s="1"/>
  <c r="M87" i="4"/>
  <c r="M290" i="4" s="1"/>
  <c r="M288" i="4" s="1"/>
  <c r="B87" i="4"/>
  <c r="B290" i="4" s="1"/>
  <c r="D87" i="4"/>
  <c r="D290" i="4" s="1"/>
  <c r="D288" i="4" s="1"/>
  <c r="F87" i="4"/>
  <c r="F290" i="4" s="1"/>
  <c r="F288" i="4" s="1"/>
  <c r="H87" i="4"/>
  <c r="H290" i="4" s="1"/>
  <c r="H288" i="4" s="1"/>
  <c r="J87" i="4"/>
  <c r="J290" i="4" s="1"/>
  <c r="J288" i="4" s="1"/>
  <c r="N67" i="4"/>
  <c r="N71" i="4"/>
  <c r="N64" i="4"/>
  <c r="N63" i="4"/>
  <c r="B82" i="4"/>
  <c r="N62" i="4"/>
  <c r="B66" i="4"/>
  <c r="N66" i="4" s="1"/>
  <c r="N54" i="4" l="1"/>
  <c r="N55" i="4"/>
  <c r="B288" i="4"/>
  <c r="M10" i="4"/>
  <c r="H10" i="4"/>
  <c r="I10" i="4" l="1"/>
  <c r="N10" i="4"/>
  <c r="C10" i="4"/>
  <c r="D10" i="4" l="1"/>
  <c r="O10" i="4"/>
  <c r="J10" i="4"/>
  <c r="E10" i="4" l="1"/>
  <c r="O11" i="4" l="1"/>
  <c r="O9" i="4" s="1"/>
  <c r="N11" i="4"/>
  <c r="N9" i="4" s="1"/>
  <c r="M11" i="4"/>
  <c r="M9" i="4" s="1"/>
  <c r="L11" i="4"/>
  <c r="L9" i="4" s="1"/>
  <c r="J11" i="4"/>
  <c r="J9" i="4" s="1"/>
  <c r="I11" i="4"/>
  <c r="I9" i="4" s="1"/>
  <c r="H11" i="4"/>
  <c r="H9" i="4" s="1"/>
  <c r="G11" i="4"/>
  <c r="G9" i="4" s="1"/>
  <c r="E11" i="4"/>
  <c r="E9" i="4" s="1"/>
  <c r="D11" i="4"/>
  <c r="D9" i="4" s="1"/>
  <c r="C11" i="4"/>
  <c r="C9" i="4" s="1"/>
  <c r="B11" i="4"/>
  <c r="B9" i="4" s="1"/>
  <c r="O6" i="4"/>
  <c r="O39" i="4" s="1"/>
  <c r="N6" i="4"/>
  <c r="N39" i="4" s="1"/>
  <c r="M6" i="4"/>
  <c r="M39" i="4" s="1"/>
  <c r="L6" i="4"/>
  <c r="L39" i="4" s="1"/>
  <c r="J6" i="4"/>
  <c r="J39" i="4" s="1"/>
  <c r="I6" i="4"/>
  <c r="I39" i="4" s="1"/>
  <c r="H6" i="4"/>
  <c r="H39" i="4" s="1"/>
  <c r="G6" i="4"/>
  <c r="G39" i="4" s="1"/>
  <c r="E6" i="4"/>
  <c r="E39" i="4" s="1"/>
  <c r="D6" i="4"/>
  <c r="D39" i="4" s="1"/>
  <c r="C6" i="4"/>
  <c r="C39" i="4" s="1"/>
  <c r="B6" i="4"/>
  <c r="B39" i="4" s="1"/>
  <c r="O5" i="4"/>
  <c r="O42" i="4" s="1"/>
  <c r="N5" i="4"/>
  <c r="N42" i="4" s="1"/>
  <c r="M5" i="4"/>
  <c r="M42" i="4" s="1"/>
  <c r="L5" i="4"/>
  <c r="L42" i="4" s="1"/>
  <c r="J5" i="4"/>
  <c r="J42" i="4" s="1"/>
  <c r="I5" i="4"/>
  <c r="I42" i="4" s="1"/>
  <c r="H5" i="4"/>
  <c r="H42" i="4" s="1"/>
  <c r="G5" i="4"/>
  <c r="G42" i="4" s="1"/>
  <c r="G25" i="4"/>
  <c r="P18" i="4"/>
  <c r="P17" i="4"/>
  <c r="P16" i="4"/>
  <c r="P15" i="4"/>
  <c r="P14" i="4"/>
  <c r="P13" i="4"/>
  <c r="P12" i="4"/>
  <c r="P10" i="4"/>
  <c r="K18" i="4"/>
  <c r="K17" i="4"/>
  <c r="K16" i="4"/>
  <c r="K15" i="4"/>
  <c r="K14" i="4"/>
  <c r="K13" i="4"/>
  <c r="K12" i="4"/>
  <c r="K10" i="4"/>
  <c r="F10" i="4"/>
  <c r="F12" i="4"/>
  <c r="F13" i="4"/>
  <c r="F14" i="4"/>
  <c r="F15" i="4"/>
  <c r="F16" i="4"/>
  <c r="F17" i="4"/>
  <c r="F18" i="4"/>
  <c r="E5" i="4"/>
  <c r="E42" i="4" s="1"/>
  <c r="D5" i="4"/>
  <c r="D42" i="4" s="1"/>
  <c r="C5" i="4"/>
  <c r="C42" i="4" s="1"/>
  <c r="L26" i="4"/>
  <c r="M26" i="4"/>
  <c r="N26" i="4"/>
  <c r="O26" i="4"/>
  <c r="L27" i="4"/>
  <c r="M27" i="4"/>
  <c r="N27" i="4"/>
  <c r="O27" i="4"/>
  <c r="L28" i="4"/>
  <c r="M28" i="4"/>
  <c r="N28" i="4"/>
  <c r="O28" i="4"/>
  <c r="L29" i="4"/>
  <c r="M29" i="4"/>
  <c r="N29" i="4"/>
  <c r="O29" i="4"/>
  <c r="O25" i="4"/>
  <c r="N25" i="4"/>
  <c r="M25" i="4"/>
  <c r="L25" i="4"/>
  <c r="G26" i="4"/>
  <c r="H26" i="4"/>
  <c r="I26" i="4"/>
  <c r="J26" i="4"/>
  <c r="G27" i="4"/>
  <c r="H27" i="4"/>
  <c r="I27" i="4"/>
  <c r="J27" i="4"/>
  <c r="G28" i="4"/>
  <c r="H28" i="4"/>
  <c r="I28" i="4"/>
  <c r="J28" i="4"/>
  <c r="G29" i="4"/>
  <c r="H29" i="4"/>
  <c r="I29" i="4"/>
  <c r="J29" i="4"/>
  <c r="J25" i="4"/>
  <c r="I25" i="4"/>
  <c r="H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E25" i="4"/>
  <c r="D25" i="4"/>
  <c r="C25" i="4"/>
  <c r="B25" i="4"/>
  <c r="A26" i="4"/>
  <c r="A27" i="4"/>
  <c r="A28" i="4"/>
  <c r="A29" i="4"/>
  <c r="A25" i="4"/>
  <c r="B127" i="4" l="1"/>
  <c r="B125" i="4"/>
  <c r="B126" i="4"/>
  <c r="B124" i="4"/>
  <c r="D125" i="4"/>
  <c r="D127" i="4"/>
  <c r="D124" i="4"/>
  <c r="D126" i="4"/>
  <c r="F127" i="4"/>
  <c r="F125" i="4"/>
  <c r="F126" i="4"/>
  <c r="F124" i="4"/>
  <c r="H125" i="4"/>
  <c r="H127" i="4"/>
  <c r="H124" i="4"/>
  <c r="H126" i="4"/>
  <c r="J127" i="4"/>
  <c r="J125" i="4"/>
  <c r="J126" i="4"/>
  <c r="J124" i="4"/>
  <c r="L125" i="4"/>
  <c r="L127" i="4"/>
  <c r="L124" i="4"/>
  <c r="L126" i="4"/>
  <c r="C124" i="4"/>
  <c r="C126" i="4"/>
  <c r="C125" i="4"/>
  <c r="C127" i="4"/>
  <c r="E124" i="4"/>
  <c r="E126" i="4"/>
  <c r="E125" i="4"/>
  <c r="E127" i="4"/>
  <c r="G124" i="4"/>
  <c r="G126" i="4"/>
  <c r="G125" i="4"/>
  <c r="G127" i="4"/>
  <c r="I124" i="4"/>
  <c r="I126" i="4"/>
  <c r="I125" i="4"/>
  <c r="I127" i="4"/>
  <c r="K124" i="4"/>
  <c r="K126" i="4"/>
  <c r="K125" i="4"/>
  <c r="K127" i="4"/>
  <c r="M124" i="4"/>
  <c r="M126" i="4"/>
  <c r="M125" i="4"/>
  <c r="M127" i="4"/>
  <c r="B122" i="4"/>
  <c r="B129" i="4"/>
  <c r="D122" i="4"/>
  <c r="D129" i="4"/>
  <c r="F122" i="4"/>
  <c r="F129" i="4"/>
  <c r="H122" i="4"/>
  <c r="H129" i="4"/>
  <c r="J122" i="4"/>
  <c r="J129" i="4"/>
  <c r="L122" i="4"/>
  <c r="L129" i="4"/>
  <c r="C122" i="4"/>
  <c r="C129" i="4"/>
  <c r="E122" i="4"/>
  <c r="E129" i="4"/>
  <c r="G129" i="4"/>
  <c r="G122" i="4"/>
  <c r="I129" i="4"/>
  <c r="I122" i="4"/>
  <c r="K129" i="4"/>
  <c r="K122" i="4"/>
  <c r="M129" i="4"/>
  <c r="M122" i="4"/>
  <c r="F9" i="4"/>
  <c r="P9" i="4"/>
  <c r="H7" i="4"/>
  <c r="H40" i="4" s="1"/>
  <c r="J7" i="4"/>
  <c r="J40" i="4" s="1"/>
  <c r="M7" i="4"/>
  <c r="M40" i="4" s="1"/>
  <c r="O7" i="4"/>
  <c r="O40" i="4" s="1"/>
  <c r="I7" i="4"/>
  <c r="I40" i="4" s="1"/>
  <c r="C7" i="4"/>
  <c r="C40" i="4" s="1"/>
  <c r="B7" i="4"/>
  <c r="B40" i="4" s="1"/>
  <c r="D7" i="4"/>
  <c r="D40" i="4" s="1"/>
  <c r="K9" i="4"/>
  <c r="Q18" i="4"/>
  <c r="Q16" i="4"/>
  <c r="Q14" i="4"/>
  <c r="Q13" i="4"/>
  <c r="Q15" i="4"/>
  <c r="Q17" i="4"/>
  <c r="Q12" i="4"/>
  <c r="Q10" i="4"/>
  <c r="F11" i="4"/>
  <c r="P5" i="4"/>
  <c r="K11" i="4"/>
  <c r="P6" i="4"/>
  <c r="K6" i="4"/>
  <c r="P11" i="4"/>
  <c r="F6" i="4"/>
  <c r="G7" i="4"/>
  <c r="G40" i="4" s="1"/>
  <c r="L7" i="4"/>
  <c r="L40" i="4" s="1"/>
  <c r="N7" i="4"/>
  <c r="N40" i="4" s="1"/>
  <c r="F5" i="4"/>
  <c r="E7" i="4"/>
  <c r="E40" i="4" s="1"/>
  <c r="K5" i="4"/>
  <c r="G30" i="4"/>
  <c r="F123" i="4" s="1"/>
  <c r="K29" i="4"/>
  <c r="F25" i="4"/>
  <c r="D30" i="4"/>
  <c r="D123" i="4" s="1"/>
  <c r="H30" i="4"/>
  <c r="G123" i="4" s="1"/>
  <c r="J30" i="4"/>
  <c r="I123" i="4" s="1"/>
  <c r="I30" i="4"/>
  <c r="H123" i="4" s="1"/>
  <c r="P28" i="4"/>
  <c r="K26" i="4"/>
  <c r="C30" i="4"/>
  <c r="C123" i="4" s="1"/>
  <c r="E30" i="4"/>
  <c r="E123" i="4" s="1"/>
  <c r="F29" i="4"/>
  <c r="F28" i="4"/>
  <c r="F27" i="4"/>
  <c r="F26" i="4"/>
  <c r="L30" i="4"/>
  <c r="J123" i="4" s="1"/>
  <c r="N30" i="4"/>
  <c r="L123" i="4" s="1"/>
  <c r="P29" i="4"/>
  <c r="P27" i="4"/>
  <c r="M30" i="4"/>
  <c r="K123" i="4" s="1"/>
  <c r="B30" i="4"/>
  <c r="B123" i="4" s="1"/>
  <c r="K25" i="4"/>
  <c r="P26" i="4"/>
  <c r="K28" i="4"/>
  <c r="K27" i="4"/>
  <c r="O30" i="4"/>
  <c r="M123" i="4" s="1"/>
  <c r="P25" i="4"/>
  <c r="P42" i="4"/>
  <c r="P39" i="4"/>
  <c r="K42" i="4"/>
  <c r="K39" i="4"/>
  <c r="F42" i="4"/>
  <c r="C76" i="3"/>
  <c r="D76" i="3" s="1"/>
  <c r="E76" i="3" s="1"/>
  <c r="F76" i="3" s="1"/>
  <c r="G76" i="3" s="1"/>
  <c r="H76" i="3" s="1"/>
  <c r="I76" i="3" s="1"/>
  <c r="J76" i="3" s="1"/>
  <c r="C75" i="3"/>
  <c r="D75" i="3" s="1"/>
  <c r="E75" i="3" s="1"/>
  <c r="F75" i="3" s="1"/>
  <c r="G75" i="3" s="1"/>
  <c r="H75" i="3" s="1"/>
  <c r="I75" i="3" s="1"/>
  <c r="J75" i="3" s="1"/>
  <c r="K75" i="3" s="1"/>
  <c r="L75" i="3" s="1"/>
  <c r="M75" i="3" s="1"/>
  <c r="N75" i="3" s="1"/>
  <c r="O75" i="3" s="1"/>
  <c r="P75" i="3" s="1"/>
  <c r="Q75" i="3" s="1"/>
  <c r="R75" i="3" s="1"/>
  <c r="S75" i="3" s="1"/>
  <c r="T75" i="3" s="1"/>
  <c r="U75" i="3" s="1"/>
  <c r="V75" i="3" s="1"/>
  <c r="W75" i="3" s="1"/>
  <c r="X75" i="3" s="1"/>
  <c r="Y75" i="3" s="1"/>
  <c r="Z75" i="3" s="1"/>
  <c r="AA75" i="3" s="1"/>
  <c r="AB75" i="3" s="1"/>
  <c r="AC75" i="3" s="1"/>
  <c r="AD75" i="3" s="1"/>
  <c r="AE75" i="3" s="1"/>
  <c r="AF75" i="3" s="1"/>
  <c r="AG75" i="3" s="1"/>
  <c r="AH75" i="3" s="1"/>
  <c r="AI75" i="3" s="1"/>
  <c r="AJ75" i="3" s="1"/>
  <c r="AK75" i="3" s="1"/>
  <c r="AL75" i="3" s="1"/>
  <c r="C74" i="3"/>
  <c r="A76" i="3"/>
  <c r="A77" i="3"/>
  <c r="A75" i="3"/>
  <c r="A74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C128" i="3"/>
  <c r="D29" i="5" l="1"/>
  <c r="D30" i="5"/>
  <c r="D33" i="5"/>
  <c r="D31" i="5"/>
  <c r="D32" i="5"/>
  <c r="Q29" i="4"/>
  <c r="Q26" i="4"/>
  <c r="D26" i="5"/>
  <c r="D24" i="5"/>
  <c r="D20" i="5"/>
  <c r="Q9" i="4"/>
  <c r="D74" i="3"/>
  <c r="E74" i="3" s="1"/>
  <c r="F74" i="3" s="1"/>
  <c r="D128" i="3"/>
  <c r="B128" i="3" s="1"/>
  <c r="E128" i="3" s="1"/>
  <c r="C129" i="3" s="1"/>
  <c r="D129" i="3" s="1"/>
  <c r="B129" i="3" s="1"/>
  <c r="F39" i="4"/>
  <c r="Q39" i="4" s="1"/>
  <c r="K7" i="4"/>
  <c r="F7" i="4"/>
  <c r="Q42" i="4"/>
  <c r="Q11" i="4"/>
  <c r="P7" i="4"/>
  <c r="Q6" i="4"/>
  <c r="Q28" i="4"/>
  <c r="K30" i="4"/>
  <c r="Q5" i="4"/>
  <c r="K76" i="3"/>
  <c r="L76" i="3" s="1"/>
  <c r="M76" i="3" s="1"/>
  <c r="N76" i="3" s="1"/>
  <c r="O76" i="3" s="1"/>
  <c r="P76" i="3" s="1"/>
  <c r="Q76" i="3" s="1"/>
  <c r="R76" i="3" s="1"/>
  <c r="S76" i="3" s="1"/>
  <c r="T76" i="3" s="1"/>
  <c r="U76" i="3" s="1"/>
  <c r="V76" i="3" s="1"/>
  <c r="W76" i="3" s="1"/>
  <c r="X76" i="3" s="1"/>
  <c r="Y76" i="3" s="1"/>
  <c r="Z76" i="3" s="1"/>
  <c r="AA76" i="3" s="1"/>
  <c r="AB76" i="3" s="1"/>
  <c r="AC76" i="3" s="1"/>
  <c r="AD76" i="3" s="1"/>
  <c r="AE76" i="3" s="1"/>
  <c r="AF76" i="3" s="1"/>
  <c r="AG76" i="3" s="1"/>
  <c r="AH76" i="3" s="1"/>
  <c r="AI76" i="3" s="1"/>
  <c r="AJ76" i="3" s="1"/>
  <c r="AK76" i="3" s="1"/>
  <c r="AL76" i="3" s="1"/>
  <c r="Q25" i="4"/>
  <c r="Q27" i="4"/>
  <c r="F30" i="4"/>
  <c r="P30" i="4"/>
  <c r="P36" i="4"/>
  <c r="F36" i="4"/>
  <c r="K36" i="4"/>
  <c r="E129" i="3" l="1"/>
  <c r="C130" i="3" s="1"/>
  <c r="D130" i="3" s="1"/>
  <c r="B130" i="3" s="1"/>
  <c r="B70" i="4" s="1"/>
  <c r="B69" i="4" s="1"/>
  <c r="B8" i="4"/>
  <c r="B41" i="4" s="1"/>
  <c r="G74" i="3"/>
  <c r="H74" i="3" s="1"/>
  <c r="I74" i="3" s="1"/>
  <c r="K40" i="4"/>
  <c r="P40" i="4"/>
  <c r="Q7" i="4"/>
  <c r="F40" i="4"/>
  <c r="Q30" i="4"/>
  <c r="Q36" i="4"/>
  <c r="B72" i="4" l="1"/>
  <c r="Q40" i="4"/>
  <c r="J74" i="3"/>
  <c r="K74" i="3" s="1"/>
  <c r="L74" i="3" s="1"/>
  <c r="C8" i="4"/>
  <c r="C41" i="4" s="1"/>
  <c r="B19" i="4"/>
  <c r="B43" i="4" s="1"/>
  <c r="E130" i="3"/>
  <c r="C131" i="3" s="1"/>
  <c r="M74" i="3" l="1"/>
  <c r="N74" i="3" s="1"/>
  <c r="O74" i="3" s="1"/>
  <c r="D8" i="4"/>
  <c r="D41" i="4" s="1"/>
  <c r="B20" i="4"/>
  <c r="B131" i="3"/>
  <c r="E131" i="3" l="1"/>
  <c r="C132" i="3" s="1"/>
  <c r="B132" i="3" s="1"/>
  <c r="P74" i="3"/>
  <c r="Q74" i="3" s="1"/>
  <c r="R74" i="3" s="1"/>
  <c r="E8" i="4"/>
  <c r="E41" i="4" s="1"/>
  <c r="B38" i="4"/>
  <c r="B57" i="4" s="1"/>
  <c r="G8" i="4" l="1"/>
  <c r="G41" i="4" s="1"/>
  <c r="F8" i="4"/>
  <c r="F41" i="4"/>
  <c r="S74" i="3"/>
  <c r="T74" i="3" s="1"/>
  <c r="U74" i="3" s="1"/>
  <c r="B45" i="4"/>
  <c r="B46" i="4" s="1"/>
  <c r="E132" i="3"/>
  <c r="V74" i="3" l="1"/>
  <c r="W74" i="3" s="1"/>
  <c r="X74" i="3" s="1"/>
  <c r="H8" i="4"/>
  <c r="H41" i="4" s="1"/>
  <c r="C133" i="3"/>
  <c r="B58" i="4" l="1"/>
  <c r="B56" i="4" s="1"/>
  <c r="B121" i="4"/>
  <c r="Y74" i="3"/>
  <c r="Z74" i="3" s="1"/>
  <c r="AA74" i="3" s="1"/>
  <c r="I8" i="4"/>
  <c r="I41" i="4" s="1"/>
  <c r="B133" i="3"/>
  <c r="C70" i="4" s="1"/>
  <c r="C19" i="4"/>
  <c r="C43" i="4" s="1"/>
  <c r="B47" i="4"/>
  <c r="B119" i="4" s="1"/>
  <c r="B120" i="4" l="1"/>
  <c r="C69" i="4"/>
  <c r="B59" i="4"/>
  <c r="B83" i="4" s="1"/>
  <c r="E133" i="3"/>
  <c r="C134" i="3" s="1"/>
  <c r="B134" i="3" s="1"/>
  <c r="AB74" i="3"/>
  <c r="AC74" i="3" s="1"/>
  <c r="AD74" i="3" s="1"/>
  <c r="J8" i="4"/>
  <c r="C20" i="4"/>
  <c r="B289" i="4" l="1"/>
  <c r="B84" i="4"/>
  <c r="L8" i="4"/>
  <c r="L41" i="4" s="1"/>
  <c r="E134" i="3"/>
  <c r="C135" i="3" s="1"/>
  <c r="B135" i="3" s="1"/>
  <c r="E135" i="3" s="1"/>
  <c r="C136" i="3" s="1"/>
  <c r="D19" i="4" s="1"/>
  <c r="D43" i="4" s="1"/>
  <c r="B73" i="4"/>
  <c r="C72" i="4"/>
  <c r="J41" i="4"/>
  <c r="K41" i="4" s="1"/>
  <c r="K8" i="4"/>
  <c r="AE74" i="3"/>
  <c r="AF74" i="3" s="1"/>
  <c r="AG74" i="3" s="1"/>
  <c r="C38" i="4"/>
  <c r="C57" i="4" s="1"/>
  <c r="B85" i="4" l="1"/>
  <c r="C287" i="4" s="1"/>
  <c r="B88" i="4"/>
  <c r="B75" i="4"/>
  <c r="B83" i="3" s="1"/>
  <c r="B76" i="4"/>
  <c r="M8" i="4"/>
  <c r="M41" i="4" s="1"/>
  <c r="AH74" i="3"/>
  <c r="AI74" i="3" s="1"/>
  <c r="AJ74" i="3" s="1"/>
  <c r="D20" i="4"/>
  <c r="C45" i="4"/>
  <c r="C46" i="4" s="1"/>
  <c r="B136" i="3"/>
  <c r="E136" i="3" s="1"/>
  <c r="C137" i="3" s="1"/>
  <c r="B84" i="3" l="1"/>
  <c r="D70" i="4"/>
  <c r="C74" i="4"/>
  <c r="N8" i="4"/>
  <c r="N41" i="4" s="1"/>
  <c r="AK74" i="3"/>
  <c r="AL74" i="3" s="1"/>
  <c r="D38" i="4"/>
  <c r="D57" i="4" s="1"/>
  <c r="B137" i="3"/>
  <c r="C58" i="4" l="1"/>
  <c r="C56" i="4" s="1"/>
  <c r="C121" i="4"/>
  <c r="C120" i="4" s="1"/>
  <c r="E137" i="3"/>
  <c r="C138" i="3" s="1"/>
  <c r="B138" i="3" s="1"/>
  <c r="D69" i="4"/>
  <c r="O8" i="4"/>
  <c r="O41" i="4" s="1"/>
  <c r="P41" i="4" s="1"/>
  <c r="Q41" i="4" s="1"/>
  <c r="C47" i="4"/>
  <c r="C119" i="4" s="1"/>
  <c r="D45" i="4"/>
  <c r="D46" i="4" s="1"/>
  <c r="P8" i="4" l="1"/>
  <c r="Q8" i="4" s="1"/>
  <c r="E138" i="3"/>
  <c r="C139" i="3" s="1"/>
  <c r="E19" i="4" s="1"/>
  <c r="E43" i="4" s="1"/>
  <c r="D72" i="4"/>
  <c r="C59" i="4"/>
  <c r="C83" i="4" s="1"/>
  <c r="D58" i="4" l="1"/>
  <c r="D56" i="4" s="1"/>
  <c r="D121" i="4"/>
  <c r="D120" i="4" s="1"/>
  <c r="C289" i="4"/>
  <c r="C84" i="4"/>
  <c r="E20" i="4"/>
  <c r="F20" i="4" s="1"/>
  <c r="C73" i="4"/>
  <c r="B139" i="3"/>
  <c r="F19" i="4"/>
  <c r="D47" i="4"/>
  <c r="D119" i="4" s="1"/>
  <c r="E38" i="4"/>
  <c r="E57" i="4" s="1"/>
  <c r="F43" i="4"/>
  <c r="C85" i="4" l="1"/>
  <c r="D287" i="4" s="1"/>
  <c r="C88" i="4"/>
  <c r="C76" i="4"/>
  <c r="C75" i="4"/>
  <c r="C83" i="3" s="1"/>
  <c r="D59" i="4"/>
  <c r="D83" i="4" s="1"/>
  <c r="E139" i="3"/>
  <c r="C140" i="3" s="1"/>
  <c r="B140" i="3" s="1"/>
  <c r="E70" i="4"/>
  <c r="E45" i="4"/>
  <c r="E46" i="4" s="1"/>
  <c r="F38" i="4"/>
  <c r="D289" i="4" l="1"/>
  <c r="D84" i="4"/>
  <c r="C84" i="3"/>
  <c r="E69" i="4"/>
  <c r="D74" i="4"/>
  <c r="E140" i="3"/>
  <c r="C141" i="3" s="1"/>
  <c r="B141" i="3" s="1"/>
  <c r="D73" i="4"/>
  <c r="D76" i="4" s="1"/>
  <c r="F45" i="4"/>
  <c r="E58" i="4" l="1"/>
  <c r="E56" i="4" s="1"/>
  <c r="E121" i="4"/>
  <c r="D23" i="5" s="1"/>
  <c r="D85" i="4"/>
  <c r="E287" i="4" s="1"/>
  <c r="D88" i="4"/>
  <c r="E141" i="3"/>
  <c r="C142" i="3" s="1"/>
  <c r="B142" i="3" s="1"/>
  <c r="E142" i="3" s="1"/>
  <c r="C143" i="3" s="1"/>
  <c r="B143" i="3" s="1"/>
  <c r="D75" i="4"/>
  <c r="E72" i="4"/>
  <c r="E47" i="4"/>
  <c r="F46" i="4"/>
  <c r="D22" i="5" l="1"/>
  <c r="D19" i="5"/>
  <c r="E120" i="4"/>
  <c r="D83" i="3"/>
  <c r="D84" i="3"/>
  <c r="F47" i="4"/>
  <c r="E119" i="4"/>
  <c r="D10" i="5" s="1"/>
  <c r="E143" i="3"/>
  <c r="C144" i="3" s="1"/>
  <c r="B144" i="3" s="1"/>
  <c r="E144" i="3" s="1"/>
  <c r="C145" i="3" s="1"/>
  <c r="H19" i="4" s="1"/>
  <c r="H43" i="4" s="1"/>
  <c r="E74" i="4"/>
  <c r="E59" i="4"/>
  <c r="E83" i="4" s="1"/>
  <c r="G19" i="4"/>
  <c r="G43" i="4" s="1"/>
  <c r="F70" i="4"/>
  <c r="E289" i="4" l="1"/>
  <c r="E84" i="4"/>
  <c r="F69" i="4"/>
  <c r="G20" i="4"/>
  <c r="E73" i="4"/>
  <c r="H38" i="4"/>
  <c r="H20" i="4"/>
  <c r="G38" i="4"/>
  <c r="F57" i="4" s="1"/>
  <c r="B145" i="3"/>
  <c r="E145" i="3" s="1"/>
  <c r="C146" i="3" s="1"/>
  <c r="E85" i="4" l="1"/>
  <c r="F287" i="4" s="1"/>
  <c r="E88" i="4"/>
  <c r="G70" i="4"/>
  <c r="G69" i="4" s="1"/>
  <c r="G72" i="4" s="1"/>
  <c r="E76" i="4"/>
  <c r="F72" i="4"/>
  <c r="E75" i="4"/>
  <c r="E83" i="3" s="1"/>
  <c r="H45" i="4"/>
  <c r="G57" i="4"/>
  <c r="G45" i="4"/>
  <c r="G46" i="4" s="1"/>
  <c r="B146" i="3"/>
  <c r="H46" i="4" l="1"/>
  <c r="G121" i="4" s="1"/>
  <c r="G120" i="4" s="1"/>
  <c r="E84" i="3"/>
  <c r="E146" i="3"/>
  <c r="C147" i="3" s="1"/>
  <c r="B147" i="3" s="1"/>
  <c r="F74" i="4"/>
  <c r="H47" i="4" l="1"/>
  <c r="G119" i="4" s="1"/>
  <c r="G58" i="4"/>
  <c r="G56" i="4" s="1"/>
  <c r="G59" i="4" s="1"/>
  <c r="G73" i="4" s="1"/>
  <c r="F58" i="4"/>
  <c r="F56" i="4" s="1"/>
  <c r="F121" i="4"/>
  <c r="F120" i="4" s="1"/>
  <c r="E147" i="3"/>
  <c r="C148" i="3" s="1"/>
  <c r="I19" i="4" s="1"/>
  <c r="I43" i="4" s="1"/>
  <c r="G47" i="4"/>
  <c r="F119" i="4" s="1"/>
  <c r="G83" i="4" l="1"/>
  <c r="G84" i="4" s="1"/>
  <c r="G88" i="4" s="1"/>
  <c r="F59" i="4"/>
  <c r="B148" i="3"/>
  <c r="I20" i="4"/>
  <c r="I38" i="4"/>
  <c r="H57" i="4" s="1"/>
  <c r="G289" i="4" l="1"/>
  <c r="F73" i="4"/>
  <c r="F75" i="4" s="1"/>
  <c r="F83" i="3" s="1"/>
  <c r="F83" i="4"/>
  <c r="E148" i="3"/>
  <c r="C149" i="3" s="1"/>
  <c r="B149" i="3" s="1"/>
  <c r="H70" i="4"/>
  <c r="H69" i="4" s="1"/>
  <c r="H72" i="4" s="1"/>
  <c r="I45" i="4"/>
  <c r="I46" i="4" s="1"/>
  <c r="F76" i="4" l="1"/>
  <c r="G76" i="4" s="1"/>
  <c r="F289" i="4"/>
  <c r="F84" i="4"/>
  <c r="F84" i="3"/>
  <c r="E149" i="3"/>
  <c r="C150" i="3" s="1"/>
  <c r="B150" i="3" s="1"/>
  <c r="E150" i="3" s="1"/>
  <c r="C151" i="3" s="1"/>
  <c r="J19" i="4" s="1"/>
  <c r="J43" i="4" s="1"/>
  <c r="G74" i="4"/>
  <c r="G75" i="4" s="1"/>
  <c r="G83" i="3" s="1"/>
  <c r="H58" i="4" l="1"/>
  <c r="H56" i="4" s="1"/>
  <c r="H59" i="4" s="1"/>
  <c r="H83" i="4" s="1"/>
  <c r="H121" i="4"/>
  <c r="H120" i="4" s="1"/>
  <c r="F85" i="4"/>
  <c r="F88" i="4"/>
  <c r="G84" i="3"/>
  <c r="J20" i="4"/>
  <c r="K20" i="4" s="1"/>
  <c r="B151" i="3"/>
  <c r="E151" i="3" s="1"/>
  <c r="C152" i="3" s="1"/>
  <c r="K19" i="4"/>
  <c r="H74" i="4"/>
  <c r="I47" i="4"/>
  <c r="H119" i="4" s="1"/>
  <c r="J38" i="4"/>
  <c r="I57" i="4" s="1"/>
  <c r="K43" i="4"/>
  <c r="D164" i="3"/>
  <c r="I70" i="4" l="1"/>
  <c r="I69" i="4" s="1"/>
  <c r="I72" i="4" s="1"/>
  <c r="H73" i="4"/>
  <c r="H76" i="4" s="1"/>
  <c r="G85" i="4"/>
  <c r="H287" i="4" s="1"/>
  <c r="G287" i="4"/>
  <c r="H84" i="4"/>
  <c r="H289" i="4"/>
  <c r="J45" i="4"/>
  <c r="J46" i="4" s="1"/>
  <c r="K38" i="4"/>
  <c r="B152" i="3"/>
  <c r="H88" i="4" l="1"/>
  <c r="H75" i="4"/>
  <c r="H83" i="3" s="1"/>
  <c r="H85" i="4"/>
  <c r="I287" i="4" s="1"/>
  <c r="E152" i="3"/>
  <c r="C153" i="3" s="1"/>
  <c r="B153" i="3" s="1"/>
  <c r="E153" i="3" s="1"/>
  <c r="C154" i="3" s="1"/>
  <c r="L19" i="4" s="1"/>
  <c r="L43" i="4" s="1"/>
  <c r="K45" i="4"/>
  <c r="I74" i="4" l="1"/>
  <c r="H84" i="3"/>
  <c r="I58" i="4"/>
  <c r="I56" i="4" s="1"/>
  <c r="I59" i="4" s="1"/>
  <c r="I83" i="4" s="1"/>
  <c r="I121" i="4"/>
  <c r="I120" i="4" s="1"/>
  <c r="L20" i="4"/>
  <c r="J47" i="4"/>
  <c r="K46" i="4"/>
  <c r="B154" i="3"/>
  <c r="E154" i="3" s="1"/>
  <c r="C155" i="3" s="1"/>
  <c r="I73" i="4" l="1"/>
  <c r="I76" i="4" s="1"/>
  <c r="K47" i="4"/>
  <c r="I119" i="4"/>
  <c r="I84" i="4"/>
  <c r="I289" i="4"/>
  <c r="J70" i="4"/>
  <c r="J69" i="4" s="1"/>
  <c r="J72" i="4" s="1"/>
  <c r="L38" i="4"/>
  <c r="J57" i="4" s="1"/>
  <c r="B155" i="3"/>
  <c r="I88" i="4" l="1"/>
  <c r="I75" i="4"/>
  <c r="I83" i="3" s="1"/>
  <c r="I85" i="4"/>
  <c r="J287" i="4" s="1"/>
  <c r="E155" i="3"/>
  <c r="C156" i="3" s="1"/>
  <c r="B156" i="3" s="1"/>
  <c r="E156" i="3" s="1"/>
  <c r="C157" i="3" s="1"/>
  <c r="M19" i="4" s="1"/>
  <c r="M43" i="4" s="1"/>
  <c r="L45" i="4"/>
  <c r="L46" i="4" s="1"/>
  <c r="I84" i="3" l="1"/>
  <c r="J74" i="4"/>
  <c r="M20" i="4"/>
  <c r="B157" i="3"/>
  <c r="E157" i="3" s="1"/>
  <c r="C158" i="3" s="1"/>
  <c r="J58" i="4" l="1"/>
  <c r="J56" i="4" s="1"/>
  <c r="J59" i="4" s="1"/>
  <c r="J83" i="4" s="1"/>
  <c r="J121" i="4"/>
  <c r="J120" i="4" s="1"/>
  <c r="K70" i="4"/>
  <c r="K69" i="4" s="1"/>
  <c r="K72" i="4" s="1"/>
  <c r="L47" i="4"/>
  <c r="J119" i="4" s="1"/>
  <c r="M38" i="4"/>
  <c r="K57" i="4" s="1"/>
  <c r="B158" i="3"/>
  <c r="J73" i="4" l="1"/>
  <c r="J75" i="4" s="1"/>
  <c r="J83" i="3" s="1"/>
  <c r="J84" i="4"/>
  <c r="J289" i="4"/>
  <c r="E158" i="3"/>
  <c r="C159" i="3" s="1"/>
  <c r="B159" i="3" s="1"/>
  <c r="E159" i="3" s="1"/>
  <c r="C160" i="3" s="1"/>
  <c r="N19" i="4" s="1"/>
  <c r="N43" i="4" s="1"/>
  <c r="M45" i="4"/>
  <c r="M46" i="4" s="1"/>
  <c r="A13" i="3"/>
  <c r="A14" i="3"/>
  <c r="A15" i="3"/>
  <c r="A16" i="3"/>
  <c r="J88" i="4" l="1"/>
  <c r="J84" i="3"/>
  <c r="J76" i="4"/>
  <c r="K74" i="4"/>
  <c r="J85" i="4"/>
  <c r="K287" i="4" s="1"/>
  <c r="N20" i="4"/>
  <c r="B160" i="3"/>
  <c r="E160" i="3" s="1"/>
  <c r="C161" i="3" s="1"/>
  <c r="K58" i="4" l="1"/>
  <c r="K56" i="4" s="1"/>
  <c r="K59" i="4" s="1"/>
  <c r="K83" i="4" s="1"/>
  <c r="K121" i="4"/>
  <c r="K120" i="4" s="1"/>
  <c r="L70" i="4"/>
  <c r="L69" i="4" s="1"/>
  <c r="L72" i="4" s="1"/>
  <c r="M47" i="4"/>
  <c r="K119" i="4" s="1"/>
  <c r="N38" i="4"/>
  <c r="L57" i="4" s="1"/>
  <c r="B161" i="3"/>
  <c r="K73" i="4" l="1"/>
  <c r="K76" i="4" s="1"/>
  <c r="K84" i="4"/>
  <c r="K289" i="4"/>
  <c r="E161" i="3"/>
  <c r="C162" i="3" s="1"/>
  <c r="B162" i="3" s="1"/>
  <c r="N45" i="4"/>
  <c r="N46" i="4" s="1"/>
  <c r="K88" i="4" l="1"/>
  <c r="K75" i="4"/>
  <c r="K83" i="3" s="1"/>
  <c r="K85" i="4"/>
  <c r="L287" i="4" s="1"/>
  <c r="E162" i="3"/>
  <c r="C163" i="3" s="1"/>
  <c r="O19" i="4" s="1"/>
  <c r="O43" i="4" s="1"/>
  <c r="K84" i="3" l="1"/>
  <c r="L74" i="4"/>
  <c r="L58" i="4"/>
  <c r="L56" i="4" s="1"/>
  <c r="L59" i="4" s="1"/>
  <c r="L83" i="4" s="1"/>
  <c r="L121" i="4"/>
  <c r="L120" i="4" s="1"/>
  <c r="O20" i="4"/>
  <c r="P20" i="4" s="1"/>
  <c r="Q20" i="4" s="1"/>
  <c r="P19" i="4"/>
  <c r="Q19" i="4" s="1"/>
  <c r="N47" i="4"/>
  <c r="L119" i="4" s="1"/>
  <c r="B163" i="3"/>
  <c r="M70" i="4" s="1"/>
  <c r="C164" i="3"/>
  <c r="L73" i="4" l="1"/>
  <c r="L76" i="4" s="1"/>
  <c r="L84" i="4"/>
  <c r="L289" i="4"/>
  <c r="M69" i="4"/>
  <c r="N70" i="4"/>
  <c r="O38" i="4"/>
  <c r="M57" i="4" s="1"/>
  <c r="N57" i="4" s="1"/>
  <c r="P43" i="4"/>
  <c r="Q43" i="4" s="1"/>
  <c r="B164" i="3"/>
  <c r="E163" i="3"/>
  <c r="L88" i="4" l="1"/>
  <c r="L75" i="4"/>
  <c r="L83" i="3" s="1"/>
  <c r="L85" i="4"/>
  <c r="M287" i="4" s="1"/>
  <c r="M72" i="4"/>
  <c r="N69" i="4"/>
  <c r="O45" i="4"/>
  <c r="O46" i="4" s="1"/>
  <c r="P46" i="4" s="1"/>
  <c r="Q46" i="4" s="1"/>
  <c r="P38" i="4"/>
  <c r="Q38" i="4" s="1"/>
  <c r="L84" i="3" l="1"/>
  <c r="M74" i="4"/>
  <c r="N72" i="4"/>
  <c r="P45" i="4"/>
  <c r="Q45" i="4" s="1"/>
  <c r="M58" i="4" l="1"/>
  <c r="N58" i="4" s="1"/>
  <c r="M121" i="4"/>
  <c r="M120" i="4" s="1"/>
  <c r="O47" i="4"/>
  <c r="M56" i="4" l="1"/>
  <c r="M59" i="4" s="1"/>
  <c r="M83" i="4" s="1"/>
  <c r="P47" i="4"/>
  <c r="Q47" i="4" s="1"/>
  <c r="M119" i="4"/>
  <c r="N56" i="4" l="1"/>
  <c r="M289" i="4"/>
  <c r="B94" i="4" s="1"/>
  <c r="B91" i="4"/>
  <c r="B93" i="4" s="1"/>
  <c r="M84" i="4"/>
  <c r="B92" i="4" s="1"/>
  <c r="N59" i="4"/>
  <c r="M73" i="4"/>
  <c r="M85" i="4" l="1"/>
  <c r="N287" i="4" s="1"/>
  <c r="M88" i="4"/>
  <c r="B90" i="4" s="1"/>
  <c r="N73" i="4"/>
  <c r="M76" i="4"/>
  <c r="M75" i="4"/>
  <c r="M83" i="3" s="1"/>
  <c r="M84" i="3" l="1"/>
  <c r="N75" i="4"/>
</calcChain>
</file>

<file path=xl/sharedStrings.xml><?xml version="1.0" encoding="utf-8"?>
<sst xmlns="http://schemas.openxmlformats.org/spreadsheetml/2006/main" count="592" uniqueCount="314">
  <si>
    <t>Базовая ставка арендной платы (1м2)</t>
  </si>
  <si>
    <t>Аб</t>
  </si>
  <si>
    <t>Действующая годовая ставка земельного налога</t>
  </si>
  <si>
    <t>Аз</t>
  </si>
  <si>
    <t>Коэффициент престижности места расположения</t>
  </si>
  <si>
    <t>К2</t>
  </si>
  <si>
    <t>Коэффициент расположения помещения внутри здания</t>
  </si>
  <si>
    <t>К3</t>
  </si>
  <si>
    <t>Коэффициент технического обустройства помещения</t>
  </si>
  <si>
    <t>К4</t>
  </si>
  <si>
    <t>Коэффициент сезонности работы объекта</t>
  </si>
  <si>
    <t>К5</t>
  </si>
  <si>
    <t>Коэффициент резервирования</t>
  </si>
  <si>
    <t>К6</t>
  </si>
  <si>
    <t>Коэффициент почасового использования помещения</t>
  </si>
  <si>
    <t>К7</t>
  </si>
  <si>
    <t>прогноз инфляции годовой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</si>
  <si>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</si>
  <si>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</si>
  <si>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</si>
  <si>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</si>
  <si>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</si>
  <si>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</si>
  <si>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</si>
  <si>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</si>
  <si>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</si>
  <si>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</si>
  <si>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</si>
  <si>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</si>
  <si>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1 год</t>
  </si>
  <si>
    <t>2 год</t>
  </si>
  <si>
    <t>3 год</t>
  </si>
  <si>
    <t>Прогноз создания рабочих мест</t>
  </si>
  <si>
    <t>уровень индексации оплаты труда, ежегодный, %</t>
  </si>
  <si>
    <t>количество работающих сотрудников</t>
  </si>
  <si>
    <t>Директор</t>
  </si>
  <si>
    <t>Инженер</t>
  </si>
  <si>
    <t>Данные для расчета ежегодной арендной платы</t>
  </si>
  <si>
    <t>система налогообложения</t>
  </si>
  <si>
    <t>ОСНО (20% от прибыли)</t>
  </si>
  <si>
    <t>УСНО (6% от дохода)</t>
  </si>
  <si>
    <t>УСНО (15% от прибыли)</t>
  </si>
  <si>
    <t>ВЫБОР НАЛОГООБЛОЖЕНИЯ</t>
  </si>
  <si>
    <t>Оборудование 1</t>
  </si>
  <si>
    <t>Оборудование 2</t>
  </si>
  <si>
    <t>Оборудование 3</t>
  </si>
  <si>
    <t>Удельные материальные затраты на 1 ед. продукции/услуг, руб.</t>
  </si>
  <si>
    <t>Цена в 1 год реализации, руб.</t>
  </si>
  <si>
    <t>ВИДЫ ДЕЯТЕЛЬНОСТИ</t>
  </si>
  <si>
    <t>Образование</t>
  </si>
  <si>
    <t>Полиграфическая д-ть</t>
  </si>
  <si>
    <t>Научная д-ть, IT</t>
  </si>
  <si>
    <t>Производство</t>
  </si>
  <si>
    <t>Иное</t>
  </si>
  <si>
    <t>Вид экономической деятельности по проекту</t>
  </si>
  <si>
    <t>Интернет и телефония</t>
  </si>
  <si>
    <t>Банковское обслуживание</t>
  </si>
  <si>
    <t>Обеспечение работы офиса (канцелярские товары, вода/чай/кофе, прочее)</t>
  </si>
  <si>
    <t>Оплата услуг сторонних организаций (разработка, логистика, консалтинг)</t>
  </si>
  <si>
    <t>Почтовые расходы</t>
  </si>
  <si>
    <t>Материальные затраты</t>
  </si>
  <si>
    <t>Отчисления во внебюджетные фонды</t>
  </si>
  <si>
    <t>Аренда офиса в Инкубаторе</t>
  </si>
  <si>
    <t>Аренда производственных помещений</t>
  </si>
  <si>
    <t>Прогноз объемов производства товаров/услуг, в нат. Показателях</t>
  </si>
  <si>
    <t>Потребность в кредите для старта проекта</t>
  </si>
  <si>
    <t>сумма кредита, руб.</t>
  </si>
  <si>
    <t>срок кредита, мес.</t>
  </si>
  <si>
    <t>процентная ставка годовых, %</t>
  </si>
  <si>
    <t>Привлечение собственного капитала для старта проекта</t>
  </si>
  <si>
    <t>Сумма вложений инвестора, руб.</t>
  </si>
  <si>
    <t>Расходы на рекламу и продвижение</t>
  </si>
  <si>
    <t>ВНЕБЮДЖЕТНЫЕ ФОНДЫ</t>
  </si>
  <si>
    <t>ПФ страховая часть</t>
  </si>
  <si>
    <t>ФФОМС</t>
  </si>
  <si>
    <t>ФСС</t>
  </si>
  <si>
    <t>ФСС от несчастных случаев на производстве</t>
  </si>
  <si>
    <t>Номер заявляемого лота</t>
  </si>
  <si>
    <t>Этажность корпуса</t>
  </si>
  <si>
    <t>Общая площадь офиса, кв.м</t>
  </si>
  <si>
    <t>отсрочка по выплате основной суммы долга, мес.</t>
  </si>
  <si>
    <t>АННУИТЕТНЫЙ ПЛАТЕЖ</t>
  </si>
  <si>
    <t>месяц</t>
  </si>
  <si>
    <t>тело долга</t>
  </si>
  <si>
    <t>проценты по долгу</t>
  </si>
  <si>
    <t>сумма платежа</t>
  </si>
  <si>
    <t>остаток долга</t>
  </si>
  <si>
    <t>ВСЕГО ЗА ПЕРИОД</t>
  </si>
  <si>
    <t>Затраты всего, в т.ч.</t>
  </si>
  <si>
    <t>зарплата персонала</t>
  </si>
  <si>
    <t>отчисления во внебюджетные фонды</t>
  </si>
  <si>
    <t>амортизационные отчисления</t>
  </si>
  <si>
    <t>материалы и комплектующие</t>
  </si>
  <si>
    <t>прочие затраты</t>
  </si>
  <si>
    <t>Прибыль до налогообложения</t>
  </si>
  <si>
    <t>Налог на прибыль</t>
  </si>
  <si>
    <t>Чистая прибыль</t>
  </si>
  <si>
    <t>1 кв-л</t>
  </si>
  <si>
    <t>2 кв-л</t>
  </si>
  <si>
    <t>3 кв-л</t>
  </si>
  <si>
    <t>4 кв-л</t>
  </si>
  <si>
    <t xml:space="preserve">1 год </t>
  </si>
  <si>
    <t>ИТОГО 1 год</t>
  </si>
  <si>
    <t xml:space="preserve">2 год </t>
  </si>
  <si>
    <t xml:space="preserve">3 год </t>
  </si>
  <si>
    <t>ИТОГО 2 год</t>
  </si>
  <si>
    <t>ИТОГО 3 год</t>
  </si>
  <si>
    <t>ВСЕГО за 3 года</t>
  </si>
  <si>
    <t>Выручка от продаж</t>
  </si>
  <si>
    <t>Амортизационные отчисления</t>
  </si>
  <si>
    <t>срок амортизации, лет</t>
  </si>
  <si>
    <t>РАСЧЕТ АМОРТИЗАЦИИ</t>
  </si>
  <si>
    <t>операционная деятельность</t>
  </si>
  <si>
    <t>денежный приток:</t>
  </si>
  <si>
    <t>денежный отток:</t>
  </si>
  <si>
    <t>налоги</t>
  </si>
  <si>
    <t>Сальдо операционных потоков</t>
  </si>
  <si>
    <t xml:space="preserve">инвестиционная деятельность </t>
  </si>
  <si>
    <t>капитальные вложения</t>
  </si>
  <si>
    <t>Сальдо инвестиционных потоков</t>
  </si>
  <si>
    <t>финансовая деятельность</t>
  </si>
  <si>
    <t>Сальдо финансовых потоков</t>
  </si>
  <si>
    <t>ИТОГО САЛЬДО ДЕНЕЖНЫХ ПОТОКОВ</t>
  </si>
  <si>
    <t>средства на начало периода</t>
  </si>
  <si>
    <t>средства на конец периода</t>
  </si>
  <si>
    <t>Сальдо денежных потоков нарастающим итогом</t>
  </si>
  <si>
    <t>Показатель</t>
  </si>
  <si>
    <t>Номенклатура производимой продукции/услуг</t>
  </si>
  <si>
    <t>ИТОГО</t>
  </si>
  <si>
    <t>Номенклатура затрат</t>
  </si>
  <si>
    <t>Прогноз прочих текущих затрат, руб.</t>
  </si>
  <si>
    <t>Затраты на оплату труда</t>
  </si>
  <si>
    <t>Арендные платежи, в т.ч.:</t>
  </si>
  <si>
    <t>ИТОГО ЗАТРАТЫ</t>
  </si>
  <si>
    <t>Проценты по кредиту</t>
  </si>
  <si>
    <t>Показатели</t>
  </si>
  <si>
    <t>выручка от продаж</t>
  </si>
  <si>
    <t>текущие затраты</t>
  </si>
  <si>
    <t>Кредит</t>
  </si>
  <si>
    <t>Возврат кредитных средств</t>
  </si>
  <si>
    <t>Займ учредителя</t>
  </si>
  <si>
    <t>Возврат займов учредителя</t>
  </si>
  <si>
    <t>наличие кассового разрыва</t>
  </si>
  <si>
    <t>Прогноз инвестиций (инвестиционные затраты, руб.)</t>
  </si>
  <si>
    <t>Прогноз получения проектом займов учредителя для покрытия кассовых разрывов, руб.</t>
  </si>
  <si>
    <t>Квартальная ставка дисконтирования</t>
  </si>
  <si>
    <t>Коэффициент дисконтирования</t>
  </si>
  <si>
    <t>сумма остатка на счетах на конец периода, тыс. руб.</t>
  </si>
  <si>
    <t>Получение беспроцентного займа учредителя, руб.</t>
  </si>
  <si>
    <t>Возврат беспроцентного займа учредителя, руб.</t>
  </si>
  <si>
    <t>Ключевая ставка ЦБ РФ</t>
  </si>
  <si>
    <t xml:space="preserve">Средневзвешенная стоимость капитала WACC = </t>
  </si>
  <si>
    <t xml:space="preserve">Чистая приведенная стоимость капитала NPV = </t>
  </si>
  <si>
    <t xml:space="preserve">Внутренняя норма рентабельности IRR = </t>
  </si>
  <si>
    <t xml:space="preserve">Простая бухгалтерская норма рентабельности ARR = </t>
  </si>
  <si>
    <t>Период окупаемости проекта PBP =</t>
  </si>
  <si>
    <t>Дисконтированный период окупаемости проекта DPBP =</t>
  </si>
  <si>
    <t>Дисконтированный денежный поток, тыс. руб.</t>
  </si>
  <si>
    <t>Денежный поток инвестиционной деятельности, тыс. руб.</t>
  </si>
  <si>
    <t>Денежный поток операционной деятельности, тыс. руб.</t>
  </si>
  <si>
    <t>Совокупный денежный поток, тыс. руб.</t>
  </si>
  <si>
    <t>Денежный поток нарастающим итогом, тыс. руб.</t>
  </si>
  <si>
    <t>Дисконтированный денежный поток инвестиционной деятельности, тыс. руб.</t>
  </si>
  <si>
    <t>Дисконтированный денежный поток операционной деятельности, тыс. руб.</t>
  </si>
  <si>
    <t>Номенклатура</t>
  </si>
  <si>
    <t>Ежемесячная зарплата в Первый год проекта</t>
  </si>
  <si>
    <t>Должность по штатному расписанию</t>
  </si>
  <si>
    <t>Номенклатура прочих затрат</t>
  </si>
  <si>
    <t>Номенклатура осуществляемых инвестиций</t>
  </si>
  <si>
    <t>Общие данные по проекту</t>
  </si>
  <si>
    <t>Период</t>
  </si>
  <si>
    <t>1 кв. 1 года</t>
  </si>
  <si>
    <t>2 кв. 1 года</t>
  </si>
  <si>
    <t>3 кв. 1 года</t>
  </si>
  <si>
    <t>4 кв. 1 года</t>
  </si>
  <si>
    <t>1 кв. 2 года</t>
  </si>
  <si>
    <t>2 кв. 2 года</t>
  </si>
  <si>
    <t>3 кв. 2 года</t>
  </si>
  <si>
    <t>4 кв. 2 года</t>
  </si>
  <si>
    <t>1 кв. 3 года</t>
  </si>
  <si>
    <t>2 кв. 3 года</t>
  </si>
  <si>
    <t>3 кв. 3 года</t>
  </si>
  <si>
    <t>4 кв. 3 года</t>
  </si>
  <si>
    <t>предъинвест. стадия</t>
  </si>
  <si>
    <t>Cash-Flow</t>
  </si>
  <si>
    <t>Плановые показатели</t>
  </si>
  <si>
    <t>I квартал 1 года</t>
  </si>
  <si>
    <t>II квартал 1 года</t>
  </si>
  <si>
    <t>III квартал 1 года</t>
  </si>
  <si>
    <t>IV квартал 1 года</t>
  </si>
  <si>
    <t>I квартал 2 года</t>
  </si>
  <si>
    <t>II квартал 2 года</t>
  </si>
  <si>
    <t>III квартал 2 года</t>
  </si>
  <si>
    <t>IV квартал 2 года</t>
  </si>
  <si>
    <t>I квартал 3 года</t>
  </si>
  <si>
    <t>II квартал 3 года</t>
  </si>
  <si>
    <t>III квартал 3 года</t>
  </si>
  <si>
    <t>IV квартал 3 года</t>
  </si>
  <si>
    <t>Налоги и отчисления во внебюджетные фонды, в т.ч.:</t>
  </si>
  <si>
    <t>НДС</t>
  </si>
  <si>
    <t>Отчисления в ФФОМС</t>
  </si>
  <si>
    <t>Отчисления в ФСС</t>
  </si>
  <si>
    <t>Отчисления в ФСС от несчастных случаев на производстве</t>
  </si>
  <si>
    <t>Средняя заработная плата на предприятии, тыс. руб. в мес.</t>
  </si>
  <si>
    <t>Численность, чел.</t>
  </si>
  <si>
    <t>Поступления, тыс. руб.</t>
  </si>
  <si>
    <t>Чистая прибыль, тыс. руб.</t>
  </si>
  <si>
    <t>Объем инвестиций/затрат на реализацию проекта (нарастающим итогом), тыс. руб.</t>
  </si>
  <si>
    <t>НДФЛ сотрудников</t>
  </si>
  <si>
    <t>Периоды</t>
  </si>
  <si>
    <t>Таблица № 8 - Прогноз финансовых результатов поквартальный, тыс. руб.</t>
  </si>
  <si>
    <t>Таблица 9 - Прогноз движения денежных средств, тыс. руб.</t>
  </si>
  <si>
    <t>Таблица 10 - Прогноз показателей эффективности проекта</t>
  </si>
  <si>
    <t>рисунок 1 - Cash Flow проекта</t>
  </si>
  <si>
    <t>Таблица 11 - План-график показателей проекта, тыс. руб.</t>
  </si>
  <si>
    <t>Таблица № 5 - Прогноз доходов по проекту, руб.</t>
  </si>
  <si>
    <t>Таблица № 7 - Структура затрат по проекту, руб.</t>
  </si>
  <si>
    <t xml:space="preserve">Наименование резидента: </t>
  </si>
  <si>
    <t>Наименование показателя</t>
  </si>
  <si>
    <t>Единица измерения</t>
  </si>
  <si>
    <t>Согласно план графику</t>
  </si>
  <si>
    <t>Фактически</t>
  </si>
  <si>
    <t>Пояснения в случае расхождения прогнозных и фактических данных</t>
  </si>
  <si>
    <t>Численность рабочего коллектива</t>
  </si>
  <si>
    <t>Выручка за отчетный период</t>
  </si>
  <si>
    <t>Чистая прибыль за отчетный период</t>
  </si>
  <si>
    <t>Объем инвестиций/затрат на реализацию проекта (отметить галочкой, указать сумму и источники)</t>
  </si>
  <si>
    <t>Отметка</t>
  </si>
  <si>
    <t>собственные</t>
  </si>
  <si>
    <t>займы учредителей</t>
  </si>
  <si>
    <t>гранты</t>
  </si>
  <si>
    <t>субсидии</t>
  </si>
  <si>
    <t>Основной рынок сбыта</t>
  </si>
  <si>
    <t>Пояснительная записка о ходе реализации проекта</t>
  </si>
  <si>
    <t>Стадия проекта</t>
  </si>
  <si>
    <t>Идея</t>
  </si>
  <si>
    <t>НИОКР</t>
  </si>
  <si>
    <t>Внедрение</t>
  </si>
  <si>
    <t>Краткое описание достижений за прошедший период</t>
  </si>
  <si>
    <t>Итоги проведенных мероприятий (количество заключенных договоров, соглашений, привлеченных клиентов и т.д.)</t>
  </si>
  <si>
    <t>Планируемые мероприятия(встречи, выставки, презентации, конференции предприятия)</t>
  </si>
  <si>
    <t>Руководитель организации:</t>
  </si>
  <si>
    <t>подпись</t>
  </si>
  <si>
    <t>М.П.</t>
  </si>
  <si>
    <t>Наименование заявителя</t>
  </si>
  <si>
    <t xml:space="preserve"> </t>
  </si>
  <si>
    <t>Система налогообложения</t>
  </si>
  <si>
    <t>кредиты</t>
  </si>
  <si>
    <t>тыс. руб.</t>
  </si>
  <si>
    <t>Налоги, поступающие в федеральный бюджет, в т.ч.:</t>
  </si>
  <si>
    <t>Налоги, поступающие в региональный бюджет, в т.ч.:</t>
  </si>
  <si>
    <t>Налоги, поступающие в муниципальный бюджет, в т.ч.:</t>
  </si>
  <si>
    <t>17% из налога на прибыль</t>
  </si>
  <si>
    <t>3% из налога на прибыль</t>
  </si>
  <si>
    <t>налог уплачиваемый в связи с применением УСН</t>
  </si>
  <si>
    <t>85% от НДФЛ</t>
  </si>
  <si>
    <t>15% от НДФЛ</t>
  </si>
  <si>
    <t>Отчисления во внебюджетные фонды:</t>
  </si>
  <si>
    <t>№ п/п</t>
  </si>
  <si>
    <t xml:space="preserve">Среднемесячная заработная плата на предприятии </t>
  </si>
  <si>
    <r>
      <t>Примечание</t>
    </r>
    <r>
      <rPr>
        <sz val="12"/>
        <color rgb="FF000000"/>
        <rFont val="Times New Roman"/>
        <family val="1"/>
        <charset val="204"/>
      </rPr>
      <t>: в случае расхождения прогнозных и фактических показателей предоставляется пояснительная записка по каждому факту расхождения.</t>
    </r>
  </si>
  <si>
    <t>Ф.И.О.</t>
  </si>
  <si>
    <t>период по бизнес-плану</t>
  </si>
  <si>
    <t>Период проекта в соответствии с бизнес-планом:</t>
  </si>
  <si>
    <t>человек</t>
  </si>
  <si>
    <t>Оснащенность предприятия (в % от заявленного в бизнес плане на данном этапе)</t>
  </si>
  <si>
    <t>Отчет резидента  бизнес инкубатора о реализации  бизнес – плана за __ квартал 20__ г.</t>
  </si>
  <si>
    <t xml:space="preserve">Отчисления в Пенсионный фонд </t>
  </si>
  <si>
    <t>Отчисления в Пенсионный фонд</t>
  </si>
  <si>
    <t>Необходимая поддержка проекту со стороны АЭР</t>
  </si>
  <si>
    <t>Меры поддержки СМСП</t>
  </si>
  <si>
    <t>Повышение квалификации сотрудников</t>
  </si>
  <si>
    <t>Косультационная поддержка по стратегии продвижения и маркетинга</t>
  </si>
  <si>
    <t>Помощь в ведении бухгалтерского и налогового учета</t>
  </si>
  <si>
    <t>Помощь в юридическом сопровождении деятельности</t>
  </si>
  <si>
    <t>Поддержка в инновационном развитии и патентовании</t>
  </si>
  <si>
    <t>Поддержка в экспортном ориентировании и продвижении</t>
  </si>
  <si>
    <t>Консультационная поддержка в привлечении льготного финансирования</t>
  </si>
  <si>
    <t>Другой тип поддержки (отметить ниже):</t>
  </si>
  <si>
    <t>Прочие расходы</t>
  </si>
  <si>
    <t>Финансирование первоначальных затрат и формирование текущих активов</t>
  </si>
  <si>
    <t xml:space="preserve">     // необходимо выбрать из списка</t>
  </si>
  <si>
    <t>номер кабинета</t>
  </si>
  <si>
    <t>позиция</t>
  </si>
  <si>
    <t>площадь, кв.м.</t>
  </si>
  <si>
    <t>цена, руб. за кв.м.</t>
  </si>
  <si>
    <t>б/н</t>
  </si>
  <si>
    <t>3, 3а, 5в</t>
  </si>
  <si>
    <t>2а</t>
  </si>
  <si>
    <t>6, 6а</t>
  </si>
  <si>
    <t>3в, 3б, 5г</t>
  </si>
  <si>
    <t>18в, 21а, 22</t>
  </si>
  <si>
    <t>13а</t>
  </si>
  <si>
    <t>14а</t>
  </si>
  <si>
    <t>18б, 20а, 21</t>
  </si>
  <si>
    <t>33, 33б</t>
  </si>
  <si>
    <t>33а</t>
  </si>
  <si>
    <t>17а</t>
  </si>
  <si>
    <t>81ж</t>
  </si>
  <si>
    <t>45, 46, 47, 48, 57, 59, 60, 60а, 63, 64, 15</t>
  </si>
  <si>
    <t>75, 76, 77, 38, 40</t>
  </si>
  <si>
    <t>Сумма арендных платежей в месяц за 1 год, руб.</t>
  </si>
  <si>
    <t>ПРИМЕЧАНИЕ: В МОДЕЛИ ЗАНОСИТЬ ДАННЫЕ В ЯЧЕЙКИ, ВЫДЕЛЕННЫЕ ЦВЕТОМ. ПРИ ОТСУТСТВИИ ПОКАЗАТЕЛЯ - ПРОСТАВИТЬ НОЛЬ</t>
  </si>
  <si>
    <t>Программист</t>
  </si>
  <si>
    <t>Менеджер по продажам</t>
  </si>
  <si>
    <t>монтажник системы</t>
  </si>
  <si>
    <t>Блоки управления УД-БУ11</t>
  </si>
  <si>
    <t>Блок коммутации УД-БК11</t>
  </si>
  <si>
    <t>Блок  согласования УД- БС11</t>
  </si>
  <si>
    <t xml:space="preserve"> Монтаж и настройка  </t>
  </si>
  <si>
    <t xml:space="preserve">Контроллеры УД-К11 </t>
  </si>
  <si>
    <t xml:space="preserve">Датчики УД-Д11 </t>
  </si>
  <si>
    <t xml:space="preserve">  // сумма патента в год (если выбрана система налогообложения "патент")</t>
  </si>
  <si>
    <t>Патент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</si>
</sst>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₽&quot;;[Red]\-#,##0.00\ &quot;₽&quot;"/>
    <numFmt numFmtId="43" formatCode="_-* #,##0.00\ _₽_-;\-* #,##0.00\ _₽_-;_-* &quot;-&quot;??\ _₽_-;_-@_-"/>
    <numFmt numFmtId="164" formatCode="_-* #,##0.00_-;\-* #,##0.00_-;_-* &quot;-&quot;??_-;_-@_-"/>
    <numFmt numFmtId="165" formatCode="_-* #,##0_-;\-* #,##0_-;_-* &quot;-&quot;??_-;_-@_-"/>
    <numFmt numFmtId="166" formatCode="_-* #,##0.00_р_._-;\-* #,##0.00_р_._-;_-* &quot;-&quot;??_р_._-;_-@_-"/>
    <numFmt numFmtId="167" formatCode="_-* #,##0_р_._-;\-* #,##0_р_._-;_-* &quot;-&quot;??_р_._-;_-@_-"/>
    <numFmt numFmtId="168" formatCode="_-* #,##0.0_-;\-* #,##0.0_-;_-* &quot;-&quot;??_-;_-@_-"/>
    <numFmt numFmtId="169" formatCode="0.0%"/>
    <numFmt numFmtId="170" formatCode="_(* #,##0_);_(* \(#,##0\);_(* &quot;-&quot;??_);_(@_)"/>
    <numFmt numFmtId="171" formatCode="_-* #,##0\ _₽_-;\-* #,##0\ _₽_-;_-* &quot;-&quot;??\ _₽_-;_-@_-"/>
    <numFmt numFmtId="172" formatCode="_-* #,##0.000_-;\-* #,##0.0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6">
    <xf numFmtId="0" fontId="0" fillId="0" borderId="0" xfId="0"/>
    <xf numFmtId="0" fontId="17" fillId="0" borderId="0" xfId="0" applyFont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49" fontId="17" fillId="0" borderId="12" xfId="0" applyNumberFormat="1" applyFont="1" applyBorder="1" applyAlignment="1" applyProtection="1">
      <alignment vertical="center"/>
      <protection hidden="1"/>
    </xf>
    <xf numFmtId="49" fontId="17" fillId="0" borderId="0" xfId="0" applyNumberFormat="1" applyFont="1" applyBorder="1" applyAlignment="1" applyProtection="1">
      <alignment vertical="center"/>
      <protection hidden="1"/>
    </xf>
    <xf numFmtId="49" fontId="17" fillId="0" borderId="0" xfId="0" applyNumberFormat="1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 vertical="top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Protection="1">
      <protection hidden="1"/>
    </xf>
    <xf numFmtId="0" fontId="17" fillId="0" borderId="0" xfId="0" applyFont="1" applyBorder="1" applyAlignment="1" applyProtection="1">
      <alignment vertical="center" wrapText="1"/>
      <protection hidden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17" fillId="3" borderId="1" xfId="0" applyFont="1" applyFill="1" applyBorder="1" applyAlignment="1" applyProtection="1">
      <alignment horizontal="center" vertical="center" wrapText="1"/>
      <protection locked="0" hidden="1"/>
    </xf>
    <xf numFmtId="0" fontId="17" fillId="3" borderId="1" xfId="0" applyFont="1" applyFill="1" applyBorder="1" applyAlignment="1" applyProtection="1">
      <alignment horizontal="center" vertical="center"/>
      <protection locked="0" hidden="1"/>
    </xf>
    <xf numFmtId="0" fontId="17" fillId="0" borderId="1" xfId="0" applyFont="1" applyBorder="1" applyAlignment="1" applyProtection="1">
      <alignment horizontal="right" vertical="center" wrapText="1"/>
      <protection hidden="1"/>
    </xf>
    <xf numFmtId="0" fontId="16" fillId="3" borderId="1" xfId="0" applyFont="1" applyFill="1" applyBorder="1" applyAlignment="1" applyProtection="1">
      <alignment horizontal="center" vertical="center"/>
      <protection locked="0"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17" fillId="0" borderId="5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7" fillId="0" borderId="12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6" fillId="0" borderId="12" xfId="0" applyFont="1" applyFill="1" applyBorder="1" applyProtection="1"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Protection="1"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6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68" fontId="0" fillId="0" borderId="1" xfId="1" applyNumberFormat="1" applyFont="1" applyBorder="1" applyProtection="1">
      <protection hidden="1"/>
    </xf>
    <xf numFmtId="0" fontId="10" fillId="0" borderId="1" xfId="0" applyFont="1" applyBorder="1" applyAlignment="1" applyProtection="1">
      <alignment horizontal="center"/>
      <protection hidden="1"/>
    </xf>
    <xf numFmtId="167" fontId="8" fillId="0" borderId="1" xfId="1" applyNumberFormat="1" applyFont="1" applyFill="1" applyBorder="1" applyAlignment="1" applyProtection="1">
      <alignment wrapText="1" shrinkToFit="1"/>
      <protection hidden="1"/>
    </xf>
    <xf numFmtId="165" fontId="9" fillId="0" borderId="1" xfId="1" applyNumberFormat="1" applyFont="1" applyBorder="1" applyAlignment="1" applyProtection="1">
      <alignment horizontal="center"/>
      <protection hidden="1"/>
    </xf>
    <xf numFmtId="165" fontId="10" fillId="0" borderId="1" xfId="1" applyNumberFormat="1" applyFont="1" applyBorder="1" applyAlignment="1" applyProtection="1">
      <alignment horizontal="center" wrapText="1"/>
      <protection hidden="1"/>
    </xf>
    <xf numFmtId="165" fontId="9" fillId="0" borderId="1" xfId="1" applyNumberFormat="1" applyFont="1" applyFill="1" applyBorder="1" applyAlignment="1" applyProtection="1">
      <alignment horizontal="center"/>
      <protection hidden="1"/>
    </xf>
    <xf numFmtId="165" fontId="10" fillId="0" borderId="1" xfId="1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Protection="1">
      <protection hidden="1"/>
    </xf>
    <xf numFmtId="167" fontId="14" fillId="0" borderId="1" xfId="1" applyNumberFormat="1" applyFont="1" applyFill="1" applyBorder="1" applyAlignment="1" applyProtection="1">
      <alignment horizontal="right" wrapText="1" shrinkToFit="1"/>
      <protection hidden="1"/>
    </xf>
    <xf numFmtId="165" fontId="14" fillId="0" borderId="1" xfId="1" applyNumberFormat="1" applyFont="1" applyFill="1" applyBorder="1" applyAlignment="1" applyProtection="1">
      <alignment horizontal="right" wrapText="1" shrinkToFit="1"/>
      <protection hidden="1"/>
    </xf>
    <xf numFmtId="165" fontId="15" fillId="0" borderId="1" xfId="1" applyNumberFormat="1" applyFont="1" applyBorder="1" applyAlignment="1" applyProtection="1">
      <alignment horizontal="right"/>
      <protection hidden="1"/>
    </xf>
    <xf numFmtId="165" fontId="10" fillId="0" borderId="1" xfId="1" applyNumberFormat="1" applyFont="1" applyBorder="1" applyAlignment="1" applyProtection="1">
      <alignment horizontal="right" wrapText="1"/>
      <protection hidden="1"/>
    </xf>
    <xf numFmtId="0" fontId="14" fillId="0" borderId="0" xfId="0" applyFont="1" applyAlignment="1" applyProtection="1">
      <alignment horizontal="right"/>
      <protection hidden="1"/>
    </xf>
    <xf numFmtId="165" fontId="8" fillId="0" borderId="1" xfId="1" applyNumberFormat="1" applyFont="1" applyFill="1" applyBorder="1" applyAlignment="1" applyProtection="1">
      <alignment horizontal="right" wrapText="1" shrinkToFit="1"/>
      <protection hidden="1"/>
    </xf>
    <xf numFmtId="165" fontId="9" fillId="0" borderId="1" xfId="1" applyNumberFormat="1" applyFont="1" applyBorder="1" applyAlignment="1" applyProtection="1">
      <alignment horizontal="right"/>
      <protection hidden="1"/>
    </xf>
    <xf numFmtId="167" fontId="8" fillId="0" borderId="1" xfId="1" applyNumberFormat="1" applyFont="1" applyFill="1" applyBorder="1" applyAlignment="1" applyProtection="1">
      <alignment wrapText="1"/>
      <protection hidden="1"/>
    </xf>
    <xf numFmtId="165" fontId="8" fillId="0" borderId="1" xfId="1" applyNumberFormat="1" applyFont="1" applyFill="1" applyBorder="1" applyAlignment="1" applyProtection="1">
      <alignment horizontal="right" wrapText="1"/>
      <protection hidden="1"/>
    </xf>
    <xf numFmtId="167" fontId="13" fillId="0" borderId="1" xfId="1" applyNumberFormat="1" applyFont="1" applyFill="1" applyBorder="1" applyAlignment="1" applyProtection="1">
      <alignment wrapText="1" shrinkToFit="1"/>
      <protection hidden="1"/>
    </xf>
    <xf numFmtId="165" fontId="6" fillId="0" borderId="1" xfId="1" applyNumberFormat="1" applyFont="1" applyBorder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171" fontId="9" fillId="0" borderId="1" xfId="1" applyNumberFormat="1" applyFont="1" applyBorder="1" applyAlignment="1" applyProtection="1">
      <alignment horizontal="center"/>
      <protection hidden="1"/>
    </xf>
    <xf numFmtId="171" fontId="10" fillId="0" borderId="1" xfId="1" applyNumberFormat="1" applyFont="1" applyBorder="1" applyAlignment="1" applyProtection="1">
      <alignment horizontal="center"/>
      <protection hidden="1"/>
    </xf>
    <xf numFmtId="171" fontId="2" fillId="0" borderId="1" xfId="0" applyNumberFormat="1" applyFont="1" applyBorder="1" applyProtection="1">
      <protection hidden="1"/>
    </xf>
    <xf numFmtId="0" fontId="6" fillId="0" borderId="1" xfId="0" applyFont="1" applyBorder="1" applyProtection="1">
      <protection hidden="1"/>
    </xf>
    <xf numFmtId="171" fontId="6" fillId="0" borderId="1" xfId="0" applyNumberFormat="1" applyFont="1" applyBorder="1" applyProtection="1">
      <protection hidden="1"/>
    </xf>
    <xf numFmtId="0" fontId="10" fillId="0" borderId="1" xfId="0" applyFont="1" applyBorder="1" applyProtection="1">
      <protection hidden="1"/>
    </xf>
    <xf numFmtId="165" fontId="10" fillId="0" borderId="1" xfId="1" applyNumberFormat="1" applyFont="1" applyBorder="1" applyAlignment="1" applyProtection="1">
      <alignment horizontal="center"/>
      <protection hidden="1"/>
    </xf>
    <xf numFmtId="165" fontId="6" fillId="0" borderId="1" xfId="1" applyNumberFormat="1" applyFont="1" applyBorder="1" applyProtection="1">
      <protection hidden="1"/>
    </xf>
    <xf numFmtId="0" fontId="9" fillId="0" borderId="3" xfId="0" applyFont="1" applyBorder="1" applyProtection="1">
      <protection hidden="1"/>
    </xf>
    <xf numFmtId="165" fontId="9" fillId="0" borderId="4" xfId="1" applyNumberFormat="1" applyFont="1" applyBorder="1" applyAlignment="1" applyProtection="1">
      <alignment horizontal="center"/>
      <protection hidden="1"/>
    </xf>
    <xf numFmtId="165" fontId="10" fillId="0" borderId="4" xfId="1" applyNumberFormat="1" applyFont="1" applyBorder="1" applyAlignment="1" applyProtection="1">
      <alignment horizontal="center"/>
      <protection hidden="1"/>
    </xf>
    <xf numFmtId="165" fontId="9" fillId="0" borderId="4" xfId="1" applyNumberFormat="1" applyFont="1" applyBorder="1" applyProtection="1">
      <protection hidden="1"/>
    </xf>
    <xf numFmtId="165" fontId="2" fillId="0" borderId="4" xfId="1" applyNumberFormat="1" applyFont="1" applyBorder="1" applyProtection="1">
      <protection hidden="1"/>
    </xf>
    <xf numFmtId="165" fontId="6" fillId="0" borderId="4" xfId="1" applyNumberFormat="1" applyFont="1" applyBorder="1" applyProtection="1">
      <protection hidden="1"/>
    </xf>
    <xf numFmtId="165" fontId="6" fillId="0" borderId="5" xfId="1" applyNumberFormat="1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2" fillId="5" borderId="3" xfId="3" applyFill="1" applyBorder="1" applyProtection="1">
      <protection hidden="1"/>
    </xf>
    <xf numFmtId="170" fontId="2" fillId="5" borderId="4" xfId="4" applyNumberFormat="1" applyFill="1" applyBorder="1" applyProtection="1">
      <protection hidden="1"/>
    </xf>
    <xf numFmtId="0" fontId="0" fillId="5" borderId="4" xfId="0" applyFill="1" applyBorder="1" applyProtection="1">
      <protection hidden="1"/>
    </xf>
    <xf numFmtId="0" fontId="0" fillId="5" borderId="5" xfId="0" applyFill="1" applyBorder="1" applyProtection="1">
      <protection hidden="1"/>
    </xf>
    <xf numFmtId="0" fontId="11" fillId="0" borderId="1" xfId="3" applyFont="1" applyBorder="1" applyProtection="1">
      <protection hidden="1"/>
    </xf>
    <xf numFmtId="170" fontId="10" fillId="0" borderId="1" xfId="1" applyNumberFormat="1" applyFont="1" applyBorder="1" applyProtection="1">
      <protection hidden="1"/>
    </xf>
    <xf numFmtId="0" fontId="9" fillId="0" borderId="1" xfId="3" applyFont="1" applyBorder="1" applyProtection="1">
      <protection hidden="1"/>
    </xf>
    <xf numFmtId="170" fontId="9" fillId="0" borderId="1" xfId="1" applyNumberFormat="1" applyFont="1" applyBorder="1" applyProtection="1">
      <protection hidden="1"/>
    </xf>
    <xf numFmtId="0" fontId="2" fillId="0" borderId="1" xfId="3" applyBorder="1" applyProtection="1">
      <protection hidden="1"/>
    </xf>
    <xf numFmtId="165" fontId="10" fillId="0" borderId="1" xfId="1" applyNumberFormat="1" applyFont="1" applyBorder="1" applyProtection="1">
      <protection hidden="1"/>
    </xf>
    <xf numFmtId="165" fontId="0" fillId="0" borderId="1" xfId="1" applyNumberFormat="1" applyFont="1" applyBorder="1" applyProtection="1">
      <protection hidden="1"/>
    </xf>
    <xf numFmtId="170" fontId="10" fillId="0" borderId="1" xfId="4" applyNumberFormat="1" applyFont="1" applyBorder="1" applyProtection="1">
      <protection hidden="1"/>
    </xf>
    <xf numFmtId="170" fontId="2" fillId="0" borderId="1" xfId="4" applyNumberFormat="1" applyBorder="1" applyProtection="1">
      <protection hidden="1"/>
    </xf>
    <xf numFmtId="165" fontId="2" fillId="0" borderId="1" xfId="1" applyNumberFormat="1" applyFont="1" applyBorder="1" applyProtection="1">
      <protection hidden="1"/>
    </xf>
    <xf numFmtId="0" fontId="12" fillId="0" borderId="1" xfId="3" applyFont="1" applyBorder="1" applyProtection="1">
      <protection hidden="1"/>
    </xf>
    <xf numFmtId="0" fontId="1" fillId="0" borderId="1" xfId="3" applyFont="1" applyBorder="1" applyProtection="1">
      <protection hidden="1"/>
    </xf>
    <xf numFmtId="0" fontId="11" fillId="2" borderId="1" xfId="3" applyFont="1" applyFill="1" applyBorder="1" applyProtection="1">
      <protection hidden="1"/>
    </xf>
    <xf numFmtId="170" fontId="10" fillId="2" borderId="1" xfId="4" applyNumberFormat="1" applyFont="1" applyFill="1" applyBorder="1" applyProtection="1">
      <protection hidden="1"/>
    </xf>
    <xf numFmtId="0" fontId="10" fillId="0" borderId="1" xfId="3" applyFont="1" applyBorder="1" applyProtection="1">
      <protection hidden="1"/>
    </xf>
    <xf numFmtId="170" fontId="10" fillId="0" borderId="1" xfId="3" applyNumberFormat="1" applyFont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170" fontId="0" fillId="0" borderId="1" xfId="0" applyNumberFormat="1" applyBorder="1" applyProtection="1">
      <protection hidden="1"/>
    </xf>
    <xf numFmtId="0" fontId="0" fillId="0" borderId="1" xfId="0" applyFill="1" applyBorder="1" applyAlignment="1" applyProtection="1">
      <alignment wrapText="1"/>
      <protection hidden="1"/>
    </xf>
    <xf numFmtId="170" fontId="0" fillId="0" borderId="1" xfId="0" applyNumberFormat="1" applyFill="1" applyBorder="1" applyProtection="1">
      <protection hidden="1"/>
    </xf>
    <xf numFmtId="10" fontId="0" fillId="0" borderId="1" xfId="2" applyNumberFormat="1" applyFont="1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172" fontId="0" fillId="0" borderId="1" xfId="1" applyNumberFormat="1" applyFont="1" applyFill="1" applyBorder="1" applyProtection="1">
      <protection hidden="1"/>
    </xf>
    <xf numFmtId="165" fontId="0" fillId="0" borderId="1" xfId="1" applyNumberFormat="1" applyFont="1" applyFill="1" applyBorder="1" applyProtection="1">
      <protection hidden="1"/>
    </xf>
    <xf numFmtId="10" fontId="0" fillId="0" borderId="1" xfId="2" applyNumberFormat="1" applyFon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0" xfId="0" applyBorder="1" applyProtection="1">
      <protection hidden="1"/>
    </xf>
    <xf numFmtId="10" fontId="0" fillId="0" borderId="1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9" fontId="0" fillId="0" borderId="0" xfId="0" applyNumberFormat="1" applyProtection="1">
      <protection hidden="1"/>
    </xf>
    <xf numFmtId="164" fontId="0" fillId="0" borderId="0" xfId="1" applyFont="1" applyProtection="1">
      <protection hidden="1"/>
    </xf>
    <xf numFmtId="10" fontId="0" fillId="0" borderId="0" xfId="2" applyNumberFormat="1" applyFont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vertical="center" wrapText="1"/>
      <protection hidden="1"/>
    </xf>
    <xf numFmtId="3" fontId="5" fillId="0" borderId="17" xfId="0" applyNumberFormat="1" applyFont="1" applyBorder="1" applyAlignment="1" applyProtection="1">
      <alignment horizontal="right" vertical="center" wrapText="1"/>
      <protection hidden="1"/>
    </xf>
    <xf numFmtId="164" fontId="5" fillId="0" borderId="17" xfId="1" applyFont="1" applyBorder="1" applyAlignment="1" applyProtection="1">
      <alignment horizontal="right" vertical="center" wrapText="1"/>
      <protection hidden="1"/>
    </xf>
    <xf numFmtId="0" fontId="18" fillId="0" borderId="20" xfId="0" applyFont="1" applyBorder="1" applyAlignment="1" applyProtection="1">
      <alignment vertical="center" wrapText="1"/>
      <protection hidden="1"/>
    </xf>
    <xf numFmtId="164" fontId="18" fillId="0" borderId="21" xfId="1" applyFont="1" applyBorder="1" applyAlignment="1" applyProtection="1">
      <alignment horizontal="right" vertical="center" wrapText="1"/>
      <protection hidden="1"/>
    </xf>
    <xf numFmtId="0" fontId="19" fillId="0" borderId="0" xfId="0" applyFont="1" applyProtection="1">
      <protection hidden="1"/>
    </xf>
    <xf numFmtId="0" fontId="18" fillId="0" borderId="22" xfId="0" applyFont="1" applyBorder="1" applyAlignment="1" applyProtection="1">
      <alignment vertical="center" wrapText="1"/>
      <protection hidden="1"/>
    </xf>
    <xf numFmtId="164" fontId="18" fillId="0" borderId="23" xfId="1" applyFont="1" applyBorder="1" applyAlignment="1" applyProtection="1">
      <alignment horizontal="right" vertical="center" wrapText="1"/>
      <protection hidden="1"/>
    </xf>
    <xf numFmtId="0" fontId="19" fillId="0" borderId="22" xfId="0" applyFont="1" applyBorder="1" applyAlignment="1" applyProtection="1">
      <alignment wrapText="1"/>
      <protection hidden="1"/>
    </xf>
    <xf numFmtId="0" fontId="19" fillId="0" borderId="26" xfId="0" applyFont="1" applyBorder="1" applyAlignment="1" applyProtection="1">
      <alignment wrapText="1"/>
      <protection hidden="1"/>
    </xf>
    <xf numFmtId="164" fontId="18" fillId="0" borderId="24" xfId="1" applyFont="1" applyBorder="1" applyAlignment="1" applyProtection="1">
      <alignment horizontal="right" vertical="center" wrapText="1"/>
      <protection hidden="1"/>
    </xf>
    <xf numFmtId="0" fontId="17" fillId="0" borderId="19" xfId="0" applyFont="1" applyBorder="1" applyAlignment="1" applyProtection="1">
      <alignment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8" fontId="0" fillId="0" borderId="0" xfId="2" applyNumberFormat="1" applyFont="1" applyProtection="1">
      <protection hidden="1"/>
    </xf>
    <xf numFmtId="165" fontId="0" fillId="0" borderId="0" xfId="1" applyNumberFormat="1" applyFont="1" applyProtection="1">
      <protection hidden="1"/>
    </xf>
    <xf numFmtId="172" fontId="0" fillId="0" borderId="0" xfId="0" applyNumberFormat="1" applyProtection="1">
      <protection hidden="1"/>
    </xf>
    <xf numFmtId="0" fontId="23" fillId="0" borderId="0" xfId="0" applyFont="1"/>
    <xf numFmtId="0" fontId="16" fillId="0" borderId="0" xfId="0" applyFont="1"/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wrapText="1"/>
    </xf>
    <xf numFmtId="0" fontId="16" fillId="0" borderId="0" xfId="3" applyFont="1" applyBorder="1"/>
    <xf numFmtId="9" fontId="16" fillId="0" borderId="0" xfId="0" applyNumberFormat="1" applyFont="1"/>
    <xf numFmtId="0" fontId="25" fillId="0" borderId="0" xfId="0" applyFont="1"/>
    <xf numFmtId="164" fontId="16" fillId="0" borderId="0" xfId="1" applyFont="1" applyFill="1"/>
    <xf numFmtId="0" fontId="16" fillId="0" borderId="1" xfId="0" applyFont="1" applyBorder="1"/>
    <xf numFmtId="164" fontId="16" fillId="0" borderId="0" xfId="1" applyFont="1"/>
    <xf numFmtId="165" fontId="16" fillId="0" borderId="0" xfId="1" applyNumberFormat="1" applyFont="1"/>
    <xf numFmtId="171" fontId="16" fillId="0" borderId="0" xfId="0" applyNumberFormat="1" applyFont="1"/>
    <xf numFmtId="0" fontId="16" fillId="0" borderId="2" xfId="0" applyFont="1" applyBorder="1"/>
    <xf numFmtId="0" fontId="16" fillId="0" borderId="0" xfId="0" applyFont="1" applyFill="1" applyBorder="1"/>
    <xf numFmtId="0" fontId="16" fillId="0" borderId="0" xfId="0" applyFont="1" applyFill="1"/>
    <xf numFmtId="0" fontId="16" fillId="0" borderId="2" xfId="0" applyFont="1" applyBorder="1" applyAlignment="1">
      <alignment horizontal="center"/>
    </xf>
    <xf numFmtId="165" fontId="16" fillId="0" borderId="0" xfId="1" applyNumberFormat="1" applyFont="1" applyFill="1" applyBorder="1"/>
    <xf numFmtId="0" fontId="16" fillId="0" borderId="0" xfId="0" applyFont="1" applyFill="1" applyBorder="1" applyAlignment="1">
      <alignment horizontal="center"/>
    </xf>
    <xf numFmtId="0" fontId="24" fillId="0" borderId="0" xfId="0" applyFont="1"/>
    <xf numFmtId="0" fontId="16" fillId="0" borderId="0" xfId="0" applyFont="1" applyFill="1" applyBorder="1" applyAlignment="1"/>
    <xf numFmtId="0" fontId="16" fillId="0" borderId="1" xfId="0" applyFont="1" applyFill="1" applyBorder="1" applyAlignment="1"/>
    <xf numFmtId="0" fontId="16" fillId="0" borderId="1" xfId="0" applyFont="1" applyFill="1" applyBorder="1" applyAlignment="1" applyProtection="1">
      <protection hidden="1"/>
    </xf>
    <xf numFmtId="165" fontId="16" fillId="0" borderId="1" xfId="1" applyNumberFormat="1" applyFont="1" applyFill="1" applyBorder="1" applyProtection="1">
      <protection hidden="1"/>
    </xf>
    <xf numFmtId="0" fontId="26" fillId="0" borderId="1" xfId="0" applyFont="1" applyBorder="1" applyAlignment="1">
      <alignment horizontal="center"/>
    </xf>
    <xf numFmtId="0" fontId="16" fillId="0" borderId="1" xfId="0" applyFont="1" applyBorder="1" applyAlignment="1" applyProtection="1">
      <alignment horizontal="center" wrapText="1"/>
      <protection hidden="1"/>
    </xf>
    <xf numFmtId="165" fontId="16" fillId="0" borderId="1" xfId="1" applyNumberFormat="1" applyFont="1" applyBorder="1" applyAlignment="1" applyProtection="1">
      <alignment horizontal="center" wrapText="1"/>
      <protection hidden="1"/>
    </xf>
    <xf numFmtId="0" fontId="25" fillId="4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/>
    <xf numFmtId="0" fontId="16" fillId="4" borderId="1" xfId="0" applyFont="1" applyFill="1" applyBorder="1"/>
    <xf numFmtId="0" fontId="16" fillId="0" borderId="0" xfId="0" applyFont="1" applyAlignment="1">
      <alignment horizontal="center"/>
    </xf>
    <xf numFmtId="169" fontId="16" fillId="0" borderId="1" xfId="2" applyNumberFormat="1" applyFont="1" applyBorder="1"/>
    <xf numFmtId="165" fontId="16" fillId="0" borderId="1" xfId="1" applyNumberFormat="1" applyFont="1" applyBorder="1"/>
    <xf numFmtId="0" fontId="2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/>
    </xf>
    <xf numFmtId="166" fontId="16" fillId="0" borderId="1" xfId="4" applyFont="1" applyBorder="1"/>
    <xf numFmtId="0" fontId="25" fillId="0" borderId="1" xfId="3" applyFont="1" applyBorder="1"/>
    <xf numFmtId="166" fontId="25" fillId="0" borderId="1" xfId="3" applyNumberFormat="1" applyFont="1" applyBorder="1"/>
    <xf numFmtId="169" fontId="23" fillId="0" borderId="1" xfId="5" applyNumberFormat="1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0" borderId="1" xfId="0" applyFont="1" applyFill="1" applyBorder="1"/>
    <xf numFmtId="0" fontId="23" fillId="0" borderId="0" xfId="0" applyFont="1" applyAlignment="1">
      <alignment horizontal="left"/>
    </xf>
    <xf numFmtId="165" fontId="27" fillId="3" borderId="1" xfId="1" applyNumberFormat="1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65" fontId="27" fillId="3" borderId="1" xfId="1" applyNumberFormat="1" applyFont="1" applyFill="1" applyBorder="1" applyProtection="1">
      <protection locked="0"/>
    </xf>
    <xf numFmtId="165" fontId="28" fillId="3" borderId="1" xfId="1" applyNumberFormat="1" applyFont="1" applyFill="1" applyBorder="1" applyProtection="1">
      <protection locked="0"/>
    </xf>
    <xf numFmtId="0" fontId="27" fillId="3" borderId="1" xfId="0" applyFont="1" applyFill="1" applyBorder="1" applyAlignment="1" applyProtection="1">
      <alignment horizontal="center"/>
      <protection locked="0"/>
    </xf>
    <xf numFmtId="164" fontId="27" fillId="3" borderId="1" xfId="1" applyFont="1" applyFill="1" applyBorder="1" applyProtection="1">
      <protection locked="0"/>
    </xf>
    <xf numFmtId="0" fontId="27" fillId="3" borderId="1" xfId="0" applyFont="1" applyFill="1" applyBorder="1" applyProtection="1">
      <protection locked="0"/>
    </xf>
    <xf numFmtId="9" fontId="4" fillId="3" borderId="1" xfId="0" applyNumberFormat="1" applyFont="1" applyFill="1" applyBorder="1" applyProtection="1">
      <protection locked="0"/>
    </xf>
    <xf numFmtId="9" fontId="27" fillId="3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10" fontId="4" fillId="3" borderId="1" xfId="0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4" fontId="27" fillId="3" borderId="1" xfId="1" applyNumberFormat="1" applyFont="1" applyFill="1" applyBorder="1" applyProtection="1">
      <protection locked="0"/>
    </xf>
    <xf numFmtId="0" fontId="16" fillId="0" borderId="1" xfId="0" applyFont="1" applyFill="1" applyBorder="1" applyAlignment="1">
      <alignment wrapText="1"/>
    </xf>
    <xf numFmtId="0" fontId="16" fillId="3" borderId="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wrapText="1"/>
      <protection locked="0"/>
    </xf>
    <xf numFmtId="0" fontId="16" fillId="3" borderId="3" xfId="0" applyFont="1" applyFill="1" applyBorder="1" applyAlignment="1" applyProtection="1">
      <protection locked="0"/>
    </xf>
    <xf numFmtId="0" fontId="17" fillId="0" borderId="0" xfId="0" applyFont="1" applyBorder="1" applyAlignment="1" applyProtection="1">
      <alignment vertical="center"/>
      <protection hidden="1"/>
    </xf>
    <xf numFmtId="0" fontId="17" fillId="3" borderId="5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Border="1" applyProtection="1">
      <protection hidden="1"/>
    </xf>
    <xf numFmtId="0" fontId="17" fillId="0" borderId="3" xfId="0" applyFont="1" applyBorder="1" applyAlignment="1" applyProtection="1">
      <alignment horizontal="left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1" fontId="16" fillId="0" borderId="1" xfId="0" applyNumberFormat="1" applyFont="1" applyBorder="1"/>
    <xf numFmtId="2" fontId="17" fillId="0" borderId="0" xfId="0" applyNumberFormat="1" applyFont="1" applyBorder="1" applyAlignment="1" applyProtection="1">
      <alignment vertical="center" wrapText="1"/>
      <protection hidden="1"/>
    </xf>
    <xf numFmtId="0" fontId="25" fillId="0" borderId="12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167" fontId="16" fillId="0" borderId="1" xfId="1" applyNumberFormat="1" applyFont="1" applyFill="1" applyBorder="1" applyAlignment="1">
      <alignment horizontal="left" wrapText="1" shrinkToFit="1"/>
    </xf>
    <xf numFmtId="167" fontId="16" fillId="0" borderId="1" xfId="1" applyNumberFormat="1" applyFont="1" applyFill="1" applyBorder="1" applyAlignment="1">
      <alignment horizontal="left" wrapText="1"/>
    </xf>
    <xf numFmtId="167" fontId="24" fillId="0" borderId="1" xfId="1" applyNumberFormat="1" applyFont="1" applyFill="1" applyBorder="1" applyAlignment="1">
      <alignment horizontal="left" wrapText="1" shrinkToFit="1"/>
    </xf>
    <xf numFmtId="0" fontId="16" fillId="0" borderId="0" xfId="3" applyFont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 wrapText="1"/>
      <protection hidden="1"/>
    </xf>
    <xf numFmtId="0" fontId="10" fillId="0" borderId="9" xfId="0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10" fillId="0" borderId="2" xfId="3" applyFont="1" applyBorder="1" applyAlignment="1" applyProtection="1">
      <alignment horizontal="center"/>
      <protection hidden="1"/>
    </xf>
    <xf numFmtId="0" fontId="10" fillId="0" borderId="9" xfId="3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6" fillId="0" borderId="0" xfId="0" applyFont="1" applyProtection="1"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3" borderId="3" xfId="0" applyFont="1" applyFill="1" applyBorder="1" applyAlignment="1" applyProtection="1">
      <alignment horizontal="center" vertical="center" wrapText="1"/>
      <protection locked="0" hidden="1"/>
    </xf>
    <xf numFmtId="0" fontId="17" fillId="3" borderId="5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Alignment="1" applyProtection="1">
      <alignment vertical="top"/>
      <protection hidden="1"/>
    </xf>
    <xf numFmtId="9" fontId="17" fillId="0" borderId="3" xfId="0" applyNumberFormat="1" applyFont="1" applyBorder="1" applyAlignment="1" applyProtection="1">
      <alignment horizontal="center" vertical="center" wrapText="1"/>
      <protection hidden="1"/>
    </xf>
    <xf numFmtId="0" fontId="17" fillId="0" borderId="5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Protection="1">
      <protection hidden="1"/>
    </xf>
    <xf numFmtId="0" fontId="17" fillId="3" borderId="4" xfId="0" applyFont="1" applyFill="1" applyBorder="1" applyAlignment="1" applyProtection="1">
      <alignment horizontal="center" vertical="center" wrapText="1"/>
      <protection locked="0" hidden="1"/>
    </xf>
    <xf numFmtId="0" fontId="17" fillId="0" borderId="3" xfId="0" applyFont="1" applyBorder="1" applyAlignment="1" applyProtection="1">
      <alignment horizontal="left" vertical="center" wrapText="1"/>
      <protection hidden="1"/>
    </xf>
    <xf numFmtId="0" fontId="17" fillId="0" borderId="5" xfId="0" applyFont="1" applyBorder="1" applyAlignment="1" applyProtection="1">
      <alignment horizontal="left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7" fillId="3" borderId="3" xfId="0" applyFont="1" applyFill="1" applyBorder="1" applyAlignment="1" applyProtection="1">
      <alignment horizontal="left" vertical="center" wrapText="1"/>
      <protection locked="0" hidden="1"/>
    </xf>
    <xf numFmtId="0" fontId="17" fillId="3" borderId="4" xfId="0" applyFont="1" applyFill="1" applyBorder="1" applyAlignment="1" applyProtection="1">
      <alignment horizontal="left" vertical="center" wrapText="1"/>
      <protection locked="0" hidden="1"/>
    </xf>
    <xf numFmtId="0" fontId="17" fillId="3" borderId="5" xfId="0" applyFont="1" applyFill="1" applyBorder="1" applyAlignment="1" applyProtection="1">
      <alignment horizontal="left" vertical="center" wrapText="1"/>
      <protection locked="0" hidden="1"/>
    </xf>
    <xf numFmtId="0" fontId="17" fillId="0" borderId="6" xfId="0" applyFont="1" applyBorder="1" applyAlignment="1" applyProtection="1">
      <alignment horizontal="left" vertical="center" wrapText="1"/>
      <protection hidden="1"/>
    </xf>
    <xf numFmtId="0" fontId="17" fillId="0" borderId="7" xfId="0" applyFont="1" applyBorder="1" applyAlignment="1" applyProtection="1">
      <alignment horizontal="left" vertical="center" wrapText="1"/>
      <protection hidden="1"/>
    </xf>
    <xf numFmtId="0" fontId="17" fillId="0" borderId="28" xfId="0" applyFont="1" applyBorder="1" applyAlignment="1" applyProtection="1">
      <alignment horizontal="left" vertical="center" wrapText="1"/>
      <protection hidden="1"/>
    </xf>
    <xf numFmtId="0" fontId="17" fillId="0" borderId="8" xfId="0" applyFont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17" fillId="0" borderId="27" xfId="0" applyFont="1" applyBorder="1" applyAlignment="1" applyProtection="1">
      <alignment horizontal="center" vertical="center" wrapText="1"/>
      <protection hidden="1"/>
    </xf>
    <xf numFmtId="164" fontId="16" fillId="0" borderId="3" xfId="1" applyFont="1" applyBorder="1" applyAlignment="1" applyProtection="1">
      <alignment horizontal="center" vertical="center"/>
      <protection hidden="1"/>
    </xf>
    <xf numFmtId="164" fontId="16" fillId="0" borderId="5" xfId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right" vertical="center" wrapText="1"/>
      <protection hidden="1"/>
    </xf>
    <xf numFmtId="165" fontId="16" fillId="0" borderId="3" xfId="1" applyNumberFormat="1" applyFont="1" applyBorder="1" applyAlignment="1" applyProtection="1">
      <alignment horizontal="center" vertical="center"/>
      <protection hidden="1"/>
    </xf>
    <xf numFmtId="165" fontId="16" fillId="0" borderId="5" xfId="1" applyNumberFormat="1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7" fillId="3" borderId="3" xfId="0" applyFont="1" applyFill="1" applyBorder="1" applyAlignment="1" applyProtection="1">
      <alignment horizontal="center" vertical="center"/>
      <protection locked="0" hidden="1"/>
    </xf>
    <xf numFmtId="0" fontId="17" fillId="3" borderId="5" xfId="0" applyFont="1" applyFill="1" applyBorder="1" applyAlignment="1" applyProtection="1">
      <alignment horizontal="center" vertical="center"/>
      <protection locked="0" hidden="1"/>
    </xf>
    <xf numFmtId="49" fontId="17" fillId="3" borderId="4" xfId="0" applyNumberFormat="1" applyFont="1" applyFill="1" applyBorder="1" applyAlignment="1" applyProtection="1">
      <alignment horizontal="center" vertical="center"/>
      <protection locked="0" hidden="1"/>
    </xf>
    <xf numFmtId="43" fontId="17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164" fontId="17" fillId="0" borderId="3" xfId="1" applyFont="1" applyBorder="1" applyAlignment="1" applyProtection="1">
      <alignment horizontal="center" vertical="center" wrapText="1"/>
      <protection hidden="1"/>
    </xf>
    <xf numFmtId="164" fontId="17" fillId="0" borderId="5" xfId="1" applyFont="1" applyBorder="1" applyAlignment="1" applyProtection="1">
      <alignment horizontal="center" vertical="center" wrapText="1"/>
      <protection hidden="1"/>
    </xf>
    <xf numFmtId="164" fontId="17" fillId="0" borderId="3" xfId="1" applyFont="1" applyFill="1" applyBorder="1" applyAlignment="1" applyProtection="1">
      <alignment horizontal="center" vertical="center" wrapText="1"/>
      <protection hidden="1"/>
    </xf>
    <xf numFmtId="164" fontId="17" fillId="0" borderId="5" xfId="1" applyFont="1" applyFill="1" applyBorder="1" applyAlignment="1" applyProtection="1">
      <alignment horizontal="center" vertical="center" wrapText="1"/>
      <protection hidden="1"/>
    </xf>
    <xf numFmtId="169" fontId="17" fillId="0" borderId="3" xfId="2" applyNumberFormat="1" applyFont="1" applyBorder="1" applyAlignment="1" applyProtection="1">
      <alignment horizontal="center" vertical="center" wrapText="1"/>
      <protection hidden="1"/>
    </xf>
    <xf numFmtId="169" fontId="17" fillId="0" borderId="4" xfId="2" applyNumberFormat="1" applyFont="1" applyBorder="1" applyAlignment="1" applyProtection="1">
      <alignment horizontal="center" vertical="center" wrapText="1"/>
      <protection hidden="1"/>
    </xf>
    <xf numFmtId="169" fontId="17" fillId="0" borderId="5" xfId="2" applyNumberFormat="1" applyFont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5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'Итоговые расчеты модели'!$A$287</c:f>
              <c:strCache>
                <c:ptCount val="1"/>
                <c:pt idx="0">
                  <c:v>Cash-Flow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'Итоговые расчеты модели'!$B$286:$N$286</c:f>
              <c:strCache>
                <c:ptCount val="13"/>
                <c:pt idx="0">
                  <c:v>предъинвест. стадия</c:v>
                </c:pt>
                <c:pt idx="1">
                  <c:v>1 кв. 1 года</c:v>
                </c:pt>
                <c:pt idx="2">
                  <c:v>2 кв. 1 года</c:v>
                </c:pt>
                <c:pt idx="3">
                  <c:v>3 кв. 1 года</c:v>
                </c:pt>
                <c:pt idx="4">
                  <c:v>4 кв. 1 года</c:v>
                </c:pt>
                <c:pt idx="5">
                  <c:v>1 кв. 2 года</c:v>
                </c:pt>
                <c:pt idx="6">
                  <c:v>2 кв. 2 года</c:v>
                </c:pt>
                <c:pt idx="7">
                  <c:v>3 кв. 2 года</c:v>
                </c:pt>
                <c:pt idx="8">
                  <c:v>4 кв. 2 года</c:v>
                </c:pt>
                <c:pt idx="9">
                  <c:v>1 кв. 3 года</c:v>
                </c:pt>
                <c:pt idx="10">
                  <c:v>2 кв. 3 года</c:v>
                </c:pt>
                <c:pt idx="11">
                  <c:v>3 кв. 3 года</c:v>
                </c:pt>
                <c:pt idx="12">
                  <c:v>4 кв. 3 года</c:v>
                </c:pt>
              </c:strCache>
            </c:strRef>
          </c:cat>
          <c:val>
            <c:numRef>
              <c:f>'Итоговые расчеты модели'!$B$287:$N$287</c:f>
              <c:numCache>
                <c:formatCode>_-* #,##0_-;\-* #,##0_-;_-* "-"??_-;_-@_-</c:formatCode>
                <c:ptCount val="13"/>
                <c:pt idx="0">
                  <c:v>0</c:v>
                </c:pt>
                <c:pt idx="1">
                  <c:v>-702.72199999999998</c:v>
                </c:pt>
                <c:pt idx="2">
                  <c:v>-544.99599999999998</c:v>
                </c:pt>
                <c:pt idx="3">
                  <c:v>-461.00800000000015</c:v>
                </c:pt>
                <c:pt idx="4">
                  <c:v>-23.770000000000323</c:v>
                </c:pt>
                <c:pt idx="5">
                  <c:v>683.59351999999956</c:v>
                </c:pt>
                <c:pt idx="6">
                  <c:v>1390.9570399999993</c:v>
                </c:pt>
                <c:pt idx="7">
                  <c:v>2347.9505599999993</c:v>
                </c:pt>
                <c:pt idx="8">
                  <c:v>3429.7590799999989</c:v>
                </c:pt>
                <c:pt idx="9">
                  <c:v>4587.640440799998</c:v>
                </c:pt>
                <c:pt idx="10">
                  <c:v>5745.5218015999981</c:v>
                </c:pt>
                <c:pt idx="11">
                  <c:v>7300.3148623999978</c:v>
                </c:pt>
                <c:pt idx="12">
                  <c:v>8855.1079231999975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B82-45DB-8AC0-88F47AA6D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66368"/>
        <c:axId val="43896832"/>
      </c:lineChart>
      <c:catAx>
        <c:axId val="4386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896832"/>
        <c:crosses val="autoZero"/>
        <c:auto val="1"/>
        <c:lblAlgn val="ctr"/>
        <c:lblOffset val="100"/>
        <c:noMultiLvlLbl val="0"/>
      </c:catAx>
      <c:valAx>
        <c:axId val="438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866368"/>
        <c:crossesAt val="0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145116</xdr:colOff>
      <xdr:row>97</xdr:row>
      <xdr:rowOff>80963</xdr:rowOff>
    </xdr:from>
    <xdr:to>
      <xdr:col>10</xdr:col>
      <xdr:colOff>691963</xdr:colOff>
      <xdr:row>111</xdr:row>
      <xdr:rowOff>157163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FB330682-29E2-49E0-83FD-9D2BC78FF4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N209"/>
  <sheetViews>
    <sheetView showGridLines="0" tabSelected="1" zoomScale="85" zoomScaleNormal="85" workbookViewId="0">
      <selection activeCell="B8" sqref="B8"/>
    </sheetView>
  </sheetViews>
  <sheetFormatPr defaultRowHeight="15.75" outlineLevelRow="1" x14ac:dyDescent="0.25"/>
  <cols>
    <col min="1" max="1" width="32.140625" style="131" customWidth="1"/>
    <col min="2" max="2" width="23.5703125" style="131" customWidth="1"/>
    <col min="3" max="3" width="18" style="131" customWidth="1"/>
    <col min="4" max="5" width="17.5703125" style="131" bestFit="1" customWidth="1"/>
    <col min="6" max="6" width="13" style="131" bestFit="1" customWidth="1"/>
    <col min="7" max="7" width="9.42578125" style="131" bestFit="1" customWidth="1"/>
    <col min="8" max="8" width="10.5703125" style="131" bestFit="1" customWidth="1"/>
    <col min="9" max="10" width="9.42578125" style="131" bestFit="1" customWidth="1"/>
    <col min="11" max="11" width="10.5703125" style="131" bestFit="1" customWidth="1"/>
    <col min="12" max="14" width="9.5703125" style="131" bestFit="1" customWidth="1"/>
    <col min="15" max="15" width="10.85546875" style="131" bestFit="1" customWidth="1"/>
    <col min="16" max="38" width="9.42578125" style="131" bestFit="1" customWidth="1"/>
    <col min="39" max="39" width="9.140625" style="131"/>
    <col min="40" max="40" width="13.140625" style="131" bestFit="1" customWidth="1"/>
    <col min="41" max="41" width="9.140625" style="131" customWidth="1"/>
    <col min="42" max="16384" width="9.140625" style="131"/>
  </cols>
  <sheetData>
    <row r="1" spans="1:7" x14ac:dyDescent="0.25">
      <c r="A1" s="130" t="s">
        <v>302</v>
      </c>
    </row>
    <row r="3" spans="1:7" x14ac:dyDescent="0.25">
      <c r="A3" s="201" t="s">
        <v>169</v>
      </c>
      <c r="B3" s="201"/>
    </row>
    <row r="4" spans="1:7" x14ac:dyDescent="0.25">
      <c r="A4" s="132" t="s">
        <v>244</v>
      </c>
      <c r="B4" s="185"/>
    </row>
    <row r="5" spans="1:7" x14ac:dyDescent="0.25">
      <c r="A5" s="133" t="s">
        <v>150</v>
      </c>
      <c r="B5" s="186">
        <v>4.2000000000000003E-2</v>
      </c>
    </row>
    <row r="6" spans="1:7" x14ac:dyDescent="0.25">
      <c r="A6" s="133" t="s">
        <v>16</v>
      </c>
      <c r="B6" s="183">
        <v>0.06</v>
      </c>
      <c r="D6" s="134"/>
    </row>
    <row r="7" spans="1:7" ht="31.5" x14ac:dyDescent="0.25">
      <c r="A7" s="133" t="s">
        <v>33</v>
      </c>
      <c r="B7" s="183">
        <v>0.04</v>
      </c>
      <c r="D7" s="134"/>
    </row>
    <row r="8" spans="1:7" x14ac:dyDescent="0.25">
      <c r="A8" s="133" t="s">
        <v>38</v>
      </c>
      <c r="B8" s="183" t="s">
        <v>313</v>
      </c>
      <c r="C8" s="175" t="s">
        <v>281</v>
      </c>
      <c r="D8" s="134"/>
      <c r="F8" s="181">
        <v>18000</v>
      </c>
      <c r="G8" s="130" t="s">
        <v>312</v>
      </c>
    </row>
    <row r="9" spans="1:7" ht="31.5" x14ac:dyDescent="0.25">
      <c r="A9" s="133" t="s">
        <v>54</v>
      </c>
      <c r="B9" s="183" t="s">
        <v>51</v>
      </c>
      <c r="C9" s="175" t="s">
        <v>281</v>
      </c>
      <c r="D9" s="134"/>
    </row>
    <row r="10" spans="1:7" x14ac:dyDescent="0.25">
      <c r="B10" s="135"/>
    </row>
    <row r="11" spans="1:7" x14ac:dyDescent="0.25">
      <c r="A11" s="136" t="s">
        <v>46</v>
      </c>
      <c r="B11" s="137"/>
    </row>
    <row r="12" spans="1:7" x14ac:dyDescent="0.25">
      <c r="A12" s="138" t="str">
        <f>A35</f>
        <v>Блоки управления УД-БУ11</v>
      </c>
      <c r="B12" s="181">
        <v>2000</v>
      </c>
    </row>
    <row r="13" spans="1:7" x14ac:dyDescent="0.25">
      <c r="A13" s="138" t="str">
        <f t="shared" ref="A13:A16" si="0">A36</f>
        <v>Блок коммутации УД-БК11</v>
      </c>
      <c r="B13" s="181">
        <v>2300</v>
      </c>
    </row>
    <row r="14" spans="1:7" x14ac:dyDescent="0.25">
      <c r="A14" s="138" t="str">
        <f t="shared" si="0"/>
        <v>Блок  согласования УД- БС11</v>
      </c>
      <c r="B14" s="181">
        <v>2000</v>
      </c>
    </row>
    <row r="15" spans="1:7" x14ac:dyDescent="0.25">
      <c r="A15" s="138" t="str">
        <f t="shared" si="0"/>
        <v xml:space="preserve">Контроллеры УД-К11 </v>
      </c>
      <c r="B15" s="181">
        <v>1800</v>
      </c>
    </row>
    <row r="16" spans="1:7" x14ac:dyDescent="0.25">
      <c r="A16" s="138" t="str">
        <f t="shared" si="0"/>
        <v xml:space="preserve">Датчики УД-Д11 </v>
      </c>
      <c r="B16" s="181">
        <v>30</v>
      </c>
    </row>
    <row r="17" spans="1:5" x14ac:dyDescent="0.25">
      <c r="A17" s="138"/>
      <c r="B17" s="199"/>
    </row>
    <row r="18" spans="1:5" x14ac:dyDescent="0.25">
      <c r="A18" s="136" t="s">
        <v>37</v>
      </c>
      <c r="B18" s="135"/>
    </row>
    <row r="19" spans="1:5" x14ac:dyDescent="0.25">
      <c r="A19" s="190" t="s">
        <v>77</v>
      </c>
      <c r="B19" s="178">
        <v>5</v>
      </c>
      <c r="E19" s="139"/>
    </row>
    <row r="20" spans="1:5" x14ac:dyDescent="0.25">
      <c r="A20" s="190" t="s">
        <v>79</v>
      </c>
      <c r="B20" s="178">
        <v>50.5</v>
      </c>
    </row>
    <row r="21" spans="1:5" ht="31.5" x14ac:dyDescent="0.25">
      <c r="A21" s="190" t="s">
        <v>301</v>
      </c>
      <c r="B21" s="189">
        <v>5000</v>
      </c>
    </row>
    <row r="22" spans="1:5" x14ac:dyDescent="0.25">
      <c r="B22" s="140"/>
    </row>
    <row r="23" spans="1:5" x14ac:dyDescent="0.25">
      <c r="A23" s="136" t="s">
        <v>65</v>
      </c>
      <c r="B23" s="135"/>
    </row>
    <row r="24" spans="1:5" x14ac:dyDescent="0.25">
      <c r="A24" s="133" t="s">
        <v>66</v>
      </c>
      <c r="B24" s="178"/>
    </row>
    <row r="25" spans="1:5" x14ac:dyDescent="0.25">
      <c r="A25" s="133" t="s">
        <v>67</v>
      </c>
      <c r="B25" s="178"/>
    </row>
    <row r="26" spans="1:5" ht="31.5" x14ac:dyDescent="0.25">
      <c r="A26" s="133" t="s">
        <v>80</v>
      </c>
      <c r="B26" s="178"/>
    </row>
    <row r="27" spans="1:5" x14ac:dyDescent="0.25">
      <c r="A27" s="133" t="s">
        <v>68</v>
      </c>
      <c r="B27" s="184"/>
    </row>
    <row r="28" spans="1:5" x14ac:dyDescent="0.25">
      <c r="B28" s="135"/>
      <c r="E28" s="141"/>
    </row>
    <row r="29" spans="1:5" x14ac:dyDescent="0.25">
      <c r="A29" s="136" t="s">
        <v>69</v>
      </c>
      <c r="B29" s="135"/>
      <c r="E29" s="141"/>
    </row>
    <row r="30" spans="1:5" ht="31.5" x14ac:dyDescent="0.25">
      <c r="A30" s="133" t="s">
        <v>70</v>
      </c>
      <c r="B30" s="178">
        <v>350000</v>
      </c>
      <c r="E30" s="141"/>
    </row>
    <row r="31" spans="1:5" x14ac:dyDescent="0.25">
      <c r="B31" s="135"/>
      <c r="E31" s="141"/>
    </row>
    <row r="32" spans="1:5" x14ac:dyDescent="0.25">
      <c r="A32" s="136" t="s">
        <v>64</v>
      </c>
    </row>
    <row r="33" spans="1:40" x14ac:dyDescent="0.25">
      <c r="A33" s="203" t="s">
        <v>164</v>
      </c>
      <c r="B33" s="204" t="s">
        <v>47</v>
      </c>
      <c r="C33" s="207" t="s">
        <v>29</v>
      </c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9"/>
      <c r="O33" s="207" t="s">
        <v>30</v>
      </c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9"/>
      <c r="AA33" s="207" t="s">
        <v>31</v>
      </c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9"/>
      <c r="AN33" s="141"/>
    </row>
    <row r="34" spans="1:40" x14ac:dyDescent="0.25">
      <c r="A34" s="203"/>
      <c r="B34" s="205"/>
      <c r="C34" s="138" t="s">
        <v>17</v>
      </c>
      <c r="D34" s="138" t="s">
        <v>18</v>
      </c>
      <c r="E34" s="138" t="s">
        <v>19</v>
      </c>
      <c r="F34" s="138" t="s">
        <v>20</v>
      </c>
      <c r="G34" s="138" t="s">
        <v>21</v>
      </c>
      <c r="H34" s="138" t="s">
        <v>22</v>
      </c>
      <c r="I34" s="138" t="s">
        <v>23</v>
      </c>
      <c r="J34" s="138" t="s">
        <v>24</v>
      </c>
      <c r="K34" s="138" t="s">
        <v>25</v>
      </c>
      <c r="L34" s="138" t="s">
        <v>26</v>
      </c>
      <c r="M34" s="138" t="s">
        <v>27</v>
      </c>
      <c r="N34" s="138" t="s">
        <v>28</v>
      </c>
      <c r="O34" s="142" t="s">
        <v>17</v>
      </c>
      <c r="P34" s="142" t="s">
        <v>18</v>
      </c>
      <c r="Q34" s="142" t="s">
        <v>19</v>
      </c>
      <c r="R34" s="142" t="s">
        <v>20</v>
      </c>
      <c r="S34" s="142" t="s">
        <v>21</v>
      </c>
      <c r="T34" s="142" t="s">
        <v>22</v>
      </c>
      <c r="U34" s="142" t="s">
        <v>23</v>
      </c>
      <c r="V34" s="142" t="s">
        <v>24</v>
      </c>
      <c r="W34" s="142" t="s">
        <v>25</v>
      </c>
      <c r="X34" s="142" t="s">
        <v>26</v>
      </c>
      <c r="Y34" s="142" t="s">
        <v>27</v>
      </c>
      <c r="Z34" s="142" t="s">
        <v>28</v>
      </c>
      <c r="AA34" s="142" t="s">
        <v>17</v>
      </c>
      <c r="AB34" s="142" t="s">
        <v>18</v>
      </c>
      <c r="AC34" s="142" t="s">
        <v>19</v>
      </c>
      <c r="AD34" s="142" t="s">
        <v>20</v>
      </c>
      <c r="AE34" s="142" t="s">
        <v>21</v>
      </c>
      <c r="AF34" s="142" t="s">
        <v>22</v>
      </c>
      <c r="AG34" s="142" t="s">
        <v>23</v>
      </c>
      <c r="AH34" s="142" t="s">
        <v>24</v>
      </c>
      <c r="AI34" s="142" t="s">
        <v>25</v>
      </c>
      <c r="AJ34" s="142" t="s">
        <v>26</v>
      </c>
      <c r="AK34" s="142" t="s">
        <v>27</v>
      </c>
      <c r="AL34" s="142" t="s">
        <v>28</v>
      </c>
    </row>
    <row r="35" spans="1:40" x14ac:dyDescent="0.25">
      <c r="A35" s="191" t="s">
        <v>306</v>
      </c>
      <c r="B35" s="181">
        <v>8000</v>
      </c>
      <c r="C35" s="182">
        <v>10</v>
      </c>
      <c r="D35" s="182"/>
      <c r="E35" s="182"/>
      <c r="F35" s="182">
        <v>10</v>
      </c>
      <c r="G35" s="182">
        <v>10</v>
      </c>
      <c r="H35" s="182">
        <v>10</v>
      </c>
      <c r="I35" s="182">
        <v>10</v>
      </c>
      <c r="J35" s="182">
        <v>10</v>
      </c>
      <c r="K35" s="182">
        <v>15</v>
      </c>
      <c r="L35" s="182">
        <v>15</v>
      </c>
      <c r="M35" s="182">
        <v>15</v>
      </c>
      <c r="N35" s="182">
        <v>20</v>
      </c>
      <c r="O35" s="182">
        <v>20</v>
      </c>
      <c r="P35" s="182">
        <v>20</v>
      </c>
      <c r="Q35" s="182">
        <v>20</v>
      </c>
      <c r="R35" s="182">
        <v>20</v>
      </c>
      <c r="S35" s="182">
        <v>20</v>
      </c>
      <c r="T35" s="182">
        <v>20</v>
      </c>
      <c r="U35" s="182">
        <v>20</v>
      </c>
      <c r="V35" s="182">
        <v>25</v>
      </c>
      <c r="W35" s="182">
        <v>25</v>
      </c>
      <c r="X35" s="182">
        <v>25</v>
      </c>
      <c r="Y35" s="182">
        <v>25</v>
      </c>
      <c r="Z35" s="182">
        <v>25</v>
      </c>
      <c r="AA35" s="182">
        <v>25</v>
      </c>
      <c r="AB35" s="182">
        <v>25</v>
      </c>
      <c r="AC35" s="182">
        <v>25</v>
      </c>
      <c r="AD35" s="182">
        <v>25</v>
      </c>
      <c r="AE35" s="182">
        <v>25</v>
      </c>
      <c r="AF35" s="182">
        <v>25</v>
      </c>
      <c r="AG35" s="182">
        <v>30</v>
      </c>
      <c r="AH35" s="182">
        <v>30</v>
      </c>
      <c r="AI35" s="182">
        <v>30</v>
      </c>
      <c r="AJ35" s="182">
        <v>30</v>
      </c>
      <c r="AK35" s="182">
        <v>30</v>
      </c>
      <c r="AL35" s="182">
        <v>30</v>
      </c>
      <c r="AN35" s="141"/>
    </row>
    <row r="36" spans="1:40" x14ac:dyDescent="0.25">
      <c r="A36" s="191" t="s">
        <v>307</v>
      </c>
      <c r="B36" s="181">
        <v>9000</v>
      </c>
      <c r="C36" s="182"/>
      <c r="D36" s="182"/>
      <c r="E36" s="182"/>
      <c r="F36" s="182">
        <v>10</v>
      </c>
      <c r="G36" s="182">
        <v>10</v>
      </c>
      <c r="H36" s="182">
        <v>10</v>
      </c>
      <c r="I36" s="182">
        <v>10</v>
      </c>
      <c r="J36" s="182">
        <v>10</v>
      </c>
      <c r="K36" s="182">
        <v>15</v>
      </c>
      <c r="L36" s="182">
        <v>15</v>
      </c>
      <c r="M36" s="182">
        <v>15</v>
      </c>
      <c r="N36" s="182">
        <v>20</v>
      </c>
      <c r="O36" s="182">
        <v>20</v>
      </c>
      <c r="P36" s="182">
        <v>20</v>
      </c>
      <c r="Q36" s="182">
        <v>20</v>
      </c>
      <c r="R36" s="182">
        <v>20</v>
      </c>
      <c r="S36" s="182">
        <v>20</v>
      </c>
      <c r="T36" s="182">
        <v>20</v>
      </c>
      <c r="U36" s="182">
        <v>20</v>
      </c>
      <c r="V36" s="182">
        <v>25</v>
      </c>
      <c r="W36" s="182">
        <v>25</v>
      </c>
      <c r="X36" s="182">
        <v>25</v>
      </c>
      <c r="Y36" s="182">
        <v>25</v>
      </c>
      <c r="Z36" s="182">
        <v>25</v>
      </c>
      <c r="AA36" s="182">
        <v>25</v>
      </c>
      <c r="AB36" s="182">
        <v>25</v>
      </c>
      <c r="AC36" s="182">
        <v>25</v>
      </c>
      <c r="AD36" s="182">
        <v>25</v>
      </c>
      <c r="AE36" s="182">
        <v>25</v>
      </c>
      <c r="AF36" s="182">
        <v>25</v>
      </c>
      <c r="AG36" s="182">
        <v>30</v>
      </c>
      <c r="AH36" s="182">
        <v>30</v>
      </c>
      <c r="AI36" s="182">
        <v>30</v>
      </c>
      <c r="AJ36" s="182">
        <v>30</v>
      </c>
      <c r="AK36" s="182">
        <v>30</v>
      </c>
      <c r="AL36" s="182">
        <v>30</v>
      </c>
      <c r="AN36" s="141"/>
    </row>
    <row r="37" spans="1:40" x14ac:dyDescent="0.25">
      <c r="A37" s="191" t="s">
        <v>308</v>
      </c>
      <c r="B37" s="181">
        <v>8000</v>
      </c>
      <c r="C37" s="182"/>
      <c r="D37" s="182"/>
      <c r="E37" s="182"/>
      <c r="F37" s="182">
        <v>10</v>
      </c>
      <c r="G37" s="182">
        <v>10</v>
      </c>
      <c r="H37" s="182">
        <v>10</v>
      </c>
      <c r="I37" s="182">
        <v>10</v>
      </c>
      <c r="J37" s="182">
        <v>10</v>
      </c>
      <c r="K37" s="182">
        <v>15</v>
      </c>
      <c r="L37" s="182">
        <v>15</v>
      </c>
      <c r="M37" s="182">
        <v>15</v>
      </c>
      <c r="N37" s="182">
        <v>20</v>
      </c>
      <c r="O37" s="182">
        <v>20</v>
      </c>
      <c r="P37" s="182">
        <v>20</v>
      </c>
      <c r="Q37" s="182">
        <v>20</v>
      </c>
      <c r="R37" s="182">
        <v>20</v>
      </c>
      <c r="S37" s="182">
        <v>20</v>
      </c>
      <c r="T37" s="182">
        <v>20</v>
      </c>
      <c r="U37" s="182">
        <v>20</v>
      </c>
      <c r="V37" s="182">
        <v>25</v>
      </c>
      <c r="W37" s="182">
        <v>25</v>
      </c>
      <c r="X37" s="182">
        <v>25</v>
      </c>
      <c r="Y37" s="182">
        <v>25</v>
      </c>
      <c r="Z37" s="182">
        <v>25</v>
      </c>
      <c r="AA37" s="182">
        <v>25</v>
      </c>
      <c r="AB37" s="182">
        <v>25</v>
      </c>
      <c r="AC37" s="182">
        <v>25</v>
      </c>
      <c r="AD37" s="182">
        <v>25</v>
      </c>
      <c r="AE37" s="182">
        <v>25</v>
      </c>
      <c r="AF37" s="182">
        <v>25</v>
      </c>
      <c r="AG37" s="182">
        <v>30</v>
      </c>
      <c r="AH37" s="182">
        <v>30</v>
      </c>
      <c r="AI37" s="182">
        <v>30</v>
      </c>
      <c r="AJ37" s="182">
        <v>30</v>
      </c>
      <c r="AK37" s="182">
        <v>30</v>
      </c>
      <c r="AL37" s="182">
        <v>30</v>
      </c>
      <c r="AN37" s="141"/>
    </row>
    <row r="38" spans="1:40" x14ac:dyDescent="0.25">
      <c r="A38" s="191" t="s">
        <v>310</v>
      </c>
      <c r="B38" s="181">
        <v>6500</v>
      </c>
      <c r="C38" s="182"/>
      <c r="D38" s="182"/>
      <c r="E38" s="182"/>
      <c r="F38" s="182">
        <v>10</v>
      </c>
      <c r="G38" s="182">
        <v>10</v>
      </c>
      <c r="H38" s="182">
        <v>10</v>
      </c>
      <c r="I38" s="182">
        <v>10</v>
      </c>
      <c r="J38" s="182">
        <v>10</v>
      </c>
      <c r="K38" s="182">
        <v>15</v>
      </c>
      <c r="L38" s="182">
        <v>15</v>
      </c>
      <c r="M38" s="182">
        <v>15</v>
      </c>
      <c r="N38" s="182">
        <v>20</v>
      </c>
      <c r="O38" s="182">
        <v>20</v>
      </c>
      <c r="P38" s="182">
        <v>20</v>
      </c>
      <c r="Q38" s="182">
        <v>20</v>
      </c>
      <c r="R38" s="182">
        <v>20</v>
      </c>
      <c r="S38" s="182">
        <v>20</v>
      </c>
      <c r="T38" s="182">
        <v>20</v>
      </c>
      <c r="U38" s="182">
        <v>20</v>
      </c>
      <c r="V38" s="182">
        <v>25</v>
      </c>
      <c r="W38" s="182">
        <v>25</v>
      </c>
      <c r="X38" s="182">
        <v>25</v>
      </c>
      <c r="Y38" s="182">
        <v>25</v>
      </c>
      <c r="Z38" s="182">
        <v>25</v>
      </c>
      <c r="AA38" s="182">
        <v>25</v>
      </c>
      <c r="AB38" s="182">
        <v>25</v>
      </c>
      <c r="AC38" s="182">
        <v>25</v>
      </c>
      <c r="AD38" s="182">
        <v>25</v>
      </c>
      <c r="AE38" s="182">
        <v>25</v>
      </c>
      <c r="AF38" s="182">
        <v>25</v>
      </c>
      <c r="AG38" s="182">
        <v>30</v>
      </c>
      <c r="AH38" s="182">
        <v>30</v>
      </c>
      <c r="AI38" s="182">
        <v>30</v>
      </c>
      <c r="AJ38" s="182">
        <v>30</v>
      </c>
      <c r="AK38" s="182">
        <v>30</v>
      </c>
      <c r="AL38" s="182">
        <v>30</v>
      </c>
      <c r="AN38" s="141"/>
    </row>
    <row r="39" spans="1:40" x14ac:dyDescent="0.25">
      <c r="A39" s="191" t="s">
        <v>311</v>
      </c>
      <c r="B39" s="181">
        <v>60</v>
      </c>
      <c r="C39" s="182"/>
      <c r="D39" s="182"/>
      <c r="E39" s="182"/>
      <c r="F39" s="182">
        <v>50</v>
      </c>
      <c r="G39" s="182">
        <v>50</v>
      </c>
      <c r="H39" s="182">
        <v>50</v>
      </c>
      <c r="I39" s="182">
        <v>50</v>
      </c>
      <c r="J39" s="182">
        <v>50</v>
      </c>
      <c r="K39" s="182">
        <v>75</v>
      </c>
      <c r="L39" s="182">
        <v>75</v>
      </c>
      <c r="M39" s="182">
        <v>75</v>
      </c>
      <c r="N39" s="182">
        <v>100</v>
      </c>
      <c r="O39" s="182">
        <v>100</v>
      </c>
      <c r="P39" s="182">
        <v>100</v>
      </c>
      <c r="Q39" s="182">
        <v>100</v>
      </c>
      <c r="R39" s="182">
        <v>100</v>
      </c>
      <c r="S39" s="182">
        <v>100</v>
      </c>
      <c r="T39" s="182">
        <v>100</v>
      </c>
      <c r="U39" s="182">
        <v>100</v>
      </c>
      <c r="V39" s="182">
        <v>125</v>
      </c>
      <c r="W39" s="182">
        <v>125</v>
      </c>
      <c r="X39" s="182">
        <v>125</v>
      </c>
      <c r="Y39" s="182">
        <v>125</v>
      </c>
      <c r="Z39" s="182">
        <v>125</v>
      </c>
      <c r="AA39" s="182">
        <v>125</v>
      </c>
      <c r="AB39" s="182">
        <v>125</v>
      </c>
      <c r="AC39" s="182">
        <v>125</v>
      </c>
      <c r="AD39" s="182">
        <v>125</v>
      </c>
      <c r="AE39" s="182">
        <v>125</v>
      </c>
      <c r="AF39" s="182">
        <v>125</v>
      </c>
      <c r="AG39" s="182">
        <v>150</v>
      </c>
      <c r="AH39" s="182">
        <v>150</v>
      </c>
      <c r="AI39" s="182">
        <v>150</v>
      </c>
      <c r="AJ39" s="182">
        <v>150</v>
      </c>
      <c r="AK39" s="182">
        <v>150</v>
      </c>
      <c r="AL39" s="182">
        <v>150</v>
      </c>
      <c r="AN39" s="141"/>
    </row>
    <row r="40" spans="1:40" s="144" customFormat="1" x14ac:dyDescent="0.25">
      <c r="A40" s="191" t="s">
        <v>309</v>
      </c>
      <c r="B40" s="181">
        <v>12000</v>
      </c>
      <c r="C40" s="182"/>
      <c r="D40" s="182"/>
      <c r="E40" s="182"/>
      <c r="F40" s="182">
        <v>10</v>
      </c>
      <c r="G40" s="182">
        <v>10</v>
      </c>
      <c r="H40" s="182">
        <v>10</v>
      </c>
      <c r="I40" s="182">
        <v>10</v>
      </c>
      <c r="J40" s="182">
        <v>10</v>
      </c>
      <c r="K40" s="182">
        <v>15</v>
      </c>
      <c r="L40" s="182">
        <v>15</v>
      </c>
      <c r="M40" s="182">
        <v>15</v>
      </c>
      <c r="N40" s="182">
        <v>20</v>
      </c>
      <c r="O40" s="182">
        <v>20</v>
      </c>
      <c r="P40" s="182">
        <v>20</v>
      </c>
      <c r="Q40" s="182">
        <v>20</v>
      </c>
      <c r="R40" s="182">
        <v>20</v>
      </c>
      <c r="S40" s="182">
        <v>20</v>
      </c>
      <c r="T40" s="182">
        <v>20</v>
      </c>
      <c r="U40" s="182">
        <v>20</v>
      </c>
      <c r="V40" s="182">
        <v>25</v>
      </c>
      <c r="W40" s="182">
        <v>25</v>
      </c>
      <c r="X40" s="182">
        <v>25</v>
      </c>
      <c r="Y40" s="182">
        <v>25</v>
      </c>
      <c r="Z40" s="182">
        <v>25</v>
      </c>
      <c r="AA40" s="182">
        <v>25</v>
      </c>
      <c r="AB40" s="182">
        <v>25</v>
      </c>
      <c r="AC40" s="182">
        <v>25</v>
      </c>
      <c r="AD40" s="182">
        <v>25</v>
      </c>
      <c r="AE40" s="182">
        <v>25</v>
      </c>
      <c r="AF40" s="182">
        <v>25</v>
      </c>
      <c r="AG40" s="182">
        <v>30</v>
      </c>
      <c r="AH40" s="182">
        <v>30</v>
      </c>
      <c r="AI40" s="182">
        <v>30</v>
      </c>
      <c r="AJ40" s="182">
        <v>30</v>
      </c>
      <c r="AK40" s="182">
        <v>30</v>
      </c>
      <c r="AL40" s="182">
        <v>30</v>
      </c>
    </row>
    <row r="42" spans="1:40" x14ac:dyDescent="0.25">
      <c r="A42" s="136" t="s">
        <v>32</v>
      </c>
    </row>
    <row r="43" spans="1:40" x14ac:dyDescent="0.25">
      <c r="C43" s="131" t="s">
        <v>34</v>
      </c>
    </row>
    <row r="44" spans="1:40" x14ac:dyDescent="0.25">
      <c r="A44" s="204" t="s">
        <v>166</v>
      </c>
      <c r="B44" s="204" t="s">
        <v>165</v>
      </c>
      <c r="C44" s="207" t="s">
        <v>29</v>
      </c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9"/>
      <c r="O44" s="207" t="s">
        <v>30</v>
      </c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9"/>
      <c r="AA44" s="207" t="s">
        <v>31</v>
      </c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9"/>
    </row>
    <row r="45" spans="1:40" x14ac:dyDescent="0.25">
      <c r="A45" s="205"/>
      <c r="B45" s="205"/>
      <c r="C45" s="145" t="s">
        <v>17</v>
      </c>
      <c r="D45" s="142" t="s">
        <v>18</v>
      </c>
      <c r="E45" s="142" t="s">
        <v>19</v>
      </c>
      <c r="F45" s="142" t="s">
        <v>20</v>
      </c>
      <c r="G45" s="142" t="s">
        <v>21</v>
      </c>
      <c r="H45" s="142" t="s">
        <v>22</v>
      </c>
      <c r="I45" s="142" t="s">
        <v>23</v>
      </c>
      <c r="J45" s="142" t="s">
        <v>24</v>
      </c>
      <c r="K45" s="142" t="s">
        <v>25</v>
      </c>
      <c r="L45" s="142" t="s">
        <v>26</v>
      </c>
      <c r="M45" s="142" t="s">
        <v>27</v>
      </c>
      <c r="N45" s="142" t="s">
        <v>28</v>
      </c>
      <c r="O45" s="142" t="s">
        <v>17</v>
      </c>
      <c r="P45" s="142" t="s">
        <v>18</v>
      </c>
      <c r="Q45" s="142" t="s">
        <v>19</v>
      </c>
      <c r="R45" s="142" t="s">
        <v>20</v>
      </c>
      <c r="S45" s="142" t="s">
        <v>21</v>
      </c>
      <c r="T45" s="142" t="s">
        <v>22</v>
      </c>
      <c r="U45" s="142" t="s">
        <v>23</v>
      </c>
      <c r="V45" s="142" t="s">
        <v>24</v>
      </c>
      <c r="W45" s="142" t="s">
        <v>25</v>
      </c>
      <c r="X45" s="142" t="s">
        <v>26</v>
      </c>
      <c r="Y45" s="142" t="s">
        <v>27</v>
      </c>
      <c r="Z45" s="142" t="s">
        <v>28</v>
      </c>
      <c r="AA45" s="142" t="s">
        <v>17</v>
      </c>
      <c r="AB45" s="142" t="s">
        <v>18</v>
      </c>
      <c r="AC45" s="142" t="s">
        <v>19</v>
      </c>
      <c r="AD45" s="142" t="s">
        <v>20</v>
      </c>
      <c r="AE45" s="142" t="s">
        <v>21</v>
      </c>
      <c r="AF45" s="142" t="s">
        <v>22</v>
      </c>
      <c r="AG45" s="142" t="s">
        <v>23</v>
      </c>
      <c r="AH45" s="142" t="s">
        <v>24</v>
      </c>
      <c r="AI45" s="142" t="s">
        <v>25</v>
      </c>
      <c r="AJ45" s="142" t="s">
        <v>26</v>
      </c>
      <c r="AK45" s="142" t="s">
        <v>27</v>
      </c>
      <c r="AL45" s="142" t="s">
        <v>28</v>
      </c>
    </row>
    <row r="46" spans="1:40" x14ac:dyDescent="0.25">
      <c r="A46" s="192" t="s">
        <v>35</v>
      </c>
      <c r="B46" s="178">
        <v>35000</v>
      </c>
      <c r="C46" s="180">
        <v>1</v>
      </c>
      <c r="D46" s="180">
        <v>1</v>
      </c>
      <c r="E46" s="180">
        <v>1</v>
      </c>
      <c r="F46" s="180">
        <v>1</v>
      </c>
      <c r="G46" s="180">
        <v>1</v>
      </c>
      <c r="H46" s="180">
        <v>1</v>
      </c>
      <c r="I46" s="180">
        <v>1</v>
      </c>
      <c r="J46" s="180">
        <v>1</v>
      </c>
      <c r="K46" s="180">
        <v>1</v>
      </c>
      <c r="L46" s="180">
        <v>1</v>
      </c>
      <c r="M46" s="180">
        <v>1</v>
      </c>
      <c r="N46" s="180">
        <v>1</v>
      </c>
      <c r="O46" s="180">
        <v>1</v>
      </c>
      <c r="P46" s="180">
        <v>1</v>
      </c>
      <c r="Q46" s="180">
        <v>1</v>
      </c>
      <c r="R46" s="180">
        <v>1</v>
      </c>
      <c r="S46" s="180">
        <v>1</v>
      </c>
      <c r="T46" s="180">
        <v>1</v>
      </c>
      <c r="U46" s="180">
        <v>1</v>
      </c>
      <c r="V46" s="180">
        <v>1</v>
      </c>
      <c r="W46" s="180">
        <v>1</v>
      </c>
      <c r="X46" s="180">
        <v>1</v>
      </c>
      <c r="Y46" s="180">
        <v>1</v>
      </c>
      <c r="Z46" s="180">
        <v>1</v>
      </c>
      <c r="AA46" s="180">
        <v>1</v>
      </c>
      <c r="AB46" s="180">
        <v>1</v>
      </c>
      <c r="AC46" s="180">
        <v>1</v>
      </c>
      <c r="AD46" s="180">
        <v>1</v>
      </c>
      <c r="AE46" s="180">
        <v>1</v>
      </c>
      <c r="AF46" s="180">
        <v>1</v>
      </c>
      <c r="AG46" s="180">
        <v>1</v>
      </c>
      <c r="AH46" s="180">
        <v>1</v>
      </c>
      <c r="AI46" s="180">
        <v>1</v>
      </c>
      <c r="AJ46" s="180">
        <v>1</v>
      </c>
      <c r="AK46" s="180">
        <v>1</v>
      </c>
      <c r="AL46" s="180">
        <v>1</v>
      </c>
    </row>
    <row r="47" spans="1:40" x14ac:dyDescent="0.25">
      <c r="A47" s="192" t="s">
        <v>303</v>
      </c>
      <c r="B47" s="178">
        <v>24000</v>
      </c>
      <c r="C47" s="180"/>
      <c r="D47" s="180">
        <v>1</v>
      </c>
      <c r="E47" s="180">
        <v>1</v>
      </c>
      <c r="F47" s="180">
        <v>1</v>
      </c>
      <c r="G47" s="180">
        <v>1</v>
      </c>
      <c r="H47" s="180">
        <v>1</v>
      </c>
      <c r="I47" s="180">
        <v>2</v>
      </c>
      <c r="J47" s="180">
        <v>2</v>
      </c>
      <c r="K47" s="180">
        <v>2</v>
      </c>
      <c r="L47" s="180">
        <v>2</v>
      </c>
      <c r="M47" s="180">
        <v>2</v>
      </c>
      <c r="N47" s="180">
        <v>2</v>
      </c>
      <c r="O47" s="180">
        <v>2</v>
      </c>
      <c r="P47" s="180">
        <v>2</v>
      </c>
      <c r="Q47" s="180">
        <v>2</v>
      </c>
      <c r="R47" s="180">
        <v>2</v>
      </c>
      <c r="S47" s="180">
        <v>2</v>
      </c>
      <c r="T47" s="180">
        <v>2</v>
      </c>
      <c r="U47" s="180">
        <v>2</v>
      </c>
      <c r="V47" s="180">
        <v>2</v>
      </c>
      <c r="W47" s="180">
        <v>2</v>
      </c>
      <c r="X47" s="180">
        <v>2</v>
      </c>
      <c r="Y47" s="180">
        <v>2</v>
      </c>
      <c r="Z47" s="180">
        <v>2</v>
      </c>
      <c r="AA47" s="180">
        <v>2</v>
      </c>
      <c r="AB47" s="180">
        <v>2</v>
      </c>
      <c r="AC47" s="180">
        <v>2</v>
      </c>
      <c r="AD47" s="180">
        <v>2</v>
      </c>
      <c r="AE47" s="180">
        <v>2</v>
      </c>
      <c r="AF47" s="180">
        <v>2</v>
      </c>
      <c r="AG47" s="180">
        <v>2</v>
      </c>
      <c r="AH47" s="180">
        <v>2</v>
      </c>
      <c r="AI47" s="180">
        <v>2</v>
      </c>
      <c r="AJ47" s="180">
        <v>2</v>
      </c>
      <c r="AK47" s="180">
        <v>2</v>
      </c>
      <c r="AL47" s="180">
        <v>2</v>
      </c>
    </row>
    <row r="48" spans="1:40" x14ac:dyDescent="0.25">
      <c r="A48" s="192" t="s">
        <v>304</v>
      </c>
      <c r="B48" s="178">
        <v>16000</v>
      </c>
      <c r="C48" s="180"/>
      <c r="D48" s="180"/>
      <c r="E48" s="180"/>
      <c r="F48" s="180">
        <v>1</v>
      </c>
      <c r="G48" s="180">
        <v>1</v>
      </c>
      <c r="H48" s="180">
        <v>1</v>
      </c>
      <c r="I48" s="180">
        <v>1</v>
      </c>
      <c r="J48" s="180">
        <v>1</v>
      </c>
      <c r="K48" s="180">
        <v>1</v>
      </c>
      <c r="L48" s="180">
        <v>1</v>
      </c>
      <c r="M48" s="180">
        <v>1</v>
      </c>
      <c r="N48" s="180">
        <v>1</v>
      </c>
      <c r="O48" s="180">
        <v>1</v>
      </c>
      <c r="P48" s="180">
        <v>1</v>
      </c>
      <c r="Q48" s="180">
        <v>1</v>
      </c>
      <c r="R48" s="180">
        <v>1</v>
      </c>
      <c r="S48" s="180">
        <v>1</v>
      </c>
      <c r="T48" s="180">
        <v>1</v>
      </c>
      <c r="U48" s="180">
        <v>1</v>
      </c>
      <c r="V48" s="180">
        <v>1</v>
      </c>
      <c r="W48" s="180">
        <v>1</v>
      </c>
      <c r="X48" s="180">
        <v>1</v>
      </c>
      <c r="Y48" s="180">
        <v>1</v>
      </c>
      <c r="Z48" s="180">
        <v>1</v>
      </c>
      <c r="AA48" s="180">
        <v>1</v>
      </c>
      <c r="AB48" s="180">
        <v>1</v>
      </c>
      <c r="AC48" s="180">
        <v>1</v>
      </c>
      <c r="AD48" s="180">
        <v>1</v>
      </c>
      <c r="AE48" s="180">
        <v>1</v>
      </c>
      <c r="AF48" s="180">
        <v>1</v>
      </c>
      <c r="AG48" s="180">
        <v>1</v>
      </c>
      <c r="AH48" s="180">
        <v>1</v>
      </c>
      <c r="AI48" s="180">
        <v>1</v>
      </c>
      <c r="AJ48" s="180">
        <v>1</v>
      </c>
      <c r="AK48" s="180">
        <v>1</v>
      </c>
      <c r="AL48" s="180">
        <v>1</v>
      </c>
    </row>
    <row r="49" spans="1:38" x14ac:dyDescent="0.25">
      <c r="A49" s="192" t="s">
        <v>36</v>
      </c>
      <c r="B49" s="178">
        <v>30000</v>
      </c>
      <c r="C49" s="180"/>
      <c r="D49" s="180">
        <v>1</v>
      </c>
      <c r="E49" s="180">
        <v>1</v>
      </c>
      <c r="F49" s="180">
        <v>1</v>
      </c>
      <c r="G49" s="180">
        <v>1</v>
      </c>
      <c r="H49" s="180">
        <v>1</v>
      </c>
      <c r="I49" s="180">
        <v>1</v>
      </c>
      <c r="J49" s="180">
        <v>1</v>
      </c>
      <c r="K49" s="180">
        <v>1</v>
      </c>
      <c r="L49" s="180">
        <v>1</v>
      </c>
      <c r="M49" s="180">
        <v>1</v>
      </c>
      <c r="N49" s="180">
        <v>1</v>
      </c>
      <c r="O49" s="180">
        <v>1</v>
      </c>
      <c r="P49" s="180">
        <v>1</v>
      </c>
      <c r="Q49" s="180">
        <v>1</v>
      </c>
      <c r="R49" s="180">
        <v>1</v>
      </c>
      <c r="S49" s="180">
        <v>1</v>
      </c>
      <c r="T49" s="180">
        <v>1</v>
      </c>
      <c r="U49" s="180">
        <v>1</v>
      </c>
      <c r="V49" s="180">
        <v>1</v>
      </c>
      <c r="W49" s="180">
        <v>1</v>
      </c>
      <c r="X49" s="180">
        <v>1</v>
      </c>
      <c r="Y49" s="180">
        <v>1</v>
      </c>
      <c r="Z49" s="180">
        <v>1</v>
      </c>
      <c r="AA49" s="180">
        <v>1</v>
      </c>
      <c r="AB49" s="180">
        <v>1</v>
      </c>
      <c r="AC49" s="180">
        <v>1</v>
      </c>
      <c r="AD49" s="180">
        <v>1</v>
      </c>
      <c r="AE49" s="180">
        <v>1</v>
      </c>
      <c r="AF49" s="180">
        <v>1</v>
      </c>
      <c r="AG49" s="180">
        <v>1</v>
      </c>
      <c r="AH49" s="180">
        <v>1</v>
      </c>
      <c r="AI49" s="180">
        <v>1</v>
      </c>
      <c r="AJ49" s="180">
        <v>1</v>
      </c>
      <c r="AK49" s="180">
        <v>1</v>
      </c>
      <c r="AL49" s="180">
        <v>1</v>
      </c>
    </row>
    <row r="50" spans="1:38" x14ac:dyDescent="0.25">
      <c r="A50" s="192" t="s">
        <v>305</v>
      </c>
      <c r="B50" s="178">
        <v>24000</v>
      </c>
      <c r="C50" s="180"/>
      <c r="D50" s="180">
        <v>1</v>
      </c>
      <c r="E50" s="180">
        <v>1</v>
      </c>
      <c r="F50" s="180">
        <v>1</v>
      </c>
      <c r="G50" s="180">
        <v>1</v>
      </c>
      <c r="H50" s="180">
        <v>1</v>
      </c>
      <c r="I50" s="180">
        <v>2</v>
      </c>
      <c r="J50" s="180">
        <v>2</v>
      </c>
      <c r="K50" s="180">
        <v>2</v>
      </c>
      <c r="L50" s="180">
        <v>2</v>
      </c>
      <c r="M50" s="180">
        <v>2</v>
      </c>
      <c r="N50" s="180">
        <v>2</v>
      </c>
      <c r="O50" s="180">
        <v>2</v>
      </c>
      <c r="P50" s="180">
        <v>2</v>
      </c>
      <c r="Q50" s="180">
        <v>2</v>
      </c>
      <c r="R50" s="180">
        <v>2</v>
      </c>
      <c r="S50" s="180">
        <v>2</v>
      </c>
      <c r="T50" s="180">
        <v>2</v>
      </c>
      <c r="U50" s="180">
        <v>2</v>
      </c>
      <c r="V50" s="180">
        <v>2</v>
      </c>
      <c r="W50" s="180">
        <v>2</v>
      </c>
      <c r="X50" s="180">
        <v>2</v>
      </c>
      <c r="Y50" s="180">
        <v>2</v>
      </c>
      <c r="Z50" s="180">
        <v>2</v>
      </c>
      <c r="AA50" s="180">
        <v>2</v>
      </c>
      <c r="AB50" s="180">
        <v>2</v>
      </c>
      <c r="AC50" s="180">
        <v>2</v>
      </c>
      <c r="AD50" s="180">
        <v>2</v>
      </c>
      <c r="AE50" s="180">
        <v>2</v>
      </c>
      <c r="AF50" s="180">
        <v>2</v>
      </c>
      <c r="AG50" s="180">
        <v>2</v>
      </c>
      <c r="AH50" s="180">
        <v>2</v>
      </c>
      <c r="AI50" s="180">
        <v>2</v>
      </c>
      <c r="AJ50" s="180">
        <v>2</v>
      </c>
      <c r="AK50" s="180">
        <v>2</v>
      </c>
      <c r="AL50" s="180">
        <v>2</v>
      </c>
    </row>
    <row r="51" spans="1:38" x14ac:dyDescent="0.25">
      <c r="A51" s="192"/>
      <c r="B51" s="178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</row>
    <row r="52" spans="1:38" s="144" customFormat="1" x14ac:dyDescent="0.25">
      <c r="A52" s="143"/>
      <c r="B52" s="146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</row>
    <row r="54" spans="1:38" x14ac:dyDescent="0.25">
      <c r="A54" s="136" t="s">
        <v>130</v>
      </c>
    </row>
    <row r="55" spans="1:38" x14ac:dyDescent="0.25">
      <c r="A55" s="203" t="s">
        <v>167</v>
      </c>
      <c r="B55" s="203"/>
      <c r="C55" s="207" t="s">
        <v>29</v>
      </c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9"/>
      <c r="O55" s="207" t="s">
        <v>30</v>
      </c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9"/>
      <c r="AA55" s="207" t="s">
        <v>31</v>
      </c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9"/>
    </row>
    <row r="56" spans="1:38" x14ac:dyDescent="0.25">
      <c r="A56" s="203"/>
      <c r="B56" s="203"/>
      <c r="C56" s="142" t="s">
        <v>17</v>
      </c>
      <c r="D56" s="142" t="s">
        <v>18</v>
      </c>
      <c r="E56" s="142" t="s">
        <v>19</v>
      </c>
      <c r="F56" s="142" t="s">
        <v>20</v>
      </c>
      <c r="G56" s="142" t="s">
        <v>21</v>
      </c>
      <c r="H56" s="142" t="s">
        <v>22</v>
      </c>
      <c r="I56" s="142" t="s">
        <v>23</v>
      </c>
      <c r="J56" s="142" t="s">
        <v>24</v>
      </c>
      <c r="K56" s="142" t="s">
        <v>25</v>
      </c>
      <c r="L56" s="142" t="s">
        <v>26</v>
      </c>
      <c r="M56" s="142" t="s">
        <v>27</v>
      </c>
      <c r="N56" s="142" t="s">
        <v>28</v>
      </c>
      <c r="O56" s="142" t="s">
        <v>17</v>
      </c>
      <c r="P56" s="142" t="s">
        <v>18</v>
      </c>
      <c r="Q56" s="142" t="s">
        <v>19</v>
      </c>
      <c r="R56" s="142" t="s">
        <v>20</v>
      </c>
      <c r="S56" s="142" t="s">
        <v>21</v>
      </c>
      <c r="T56" s="142" t="s">
        <v>22</v>
      </c>
      <c r="U56" s="142" t="s">
        <v>23</v>
      </c>
      <c r="V56" s="142" t="s">
        <v>24</v>
      </c>
      <c r="W56" s="142" t="s">
        <v>25</v>
      </c>
      <c r="X56" s="142" t="s">
        <v>26</v>
      </c>
      <c r="Y56" s="142" t="s">
        <v>27</v>
      </c>
      <c r="Z56" s="142" t="s">
        <v>28</v>
      </c>
      <c r="AA56" s="142" t="s">
        <v>17</v>
      </c>
      <c r="AB56" s="142" t="s">
        <v>18</v>
      </c>
      <c r="AC56" s="142" t="s">
        <v>19</v>
      </c>
      <c r="AD56" s="142" t="s">
        <v>20</v>
      </c>
      <c r="AE56" s="142" t="s">
        <v>21</v>
      </c>
      <c r="AF56" s="142" t="s">
        <v>22</v>
      </c>
      <c r="AG56" s="142" t="s">
        <v>23</v>
      </c>
      <c r="AH56" s="142" t="s">
        <v>24</v>
      </c>
      <c r="AI56" s="142" t="s">
        <v>25</v>
      </c>
      <c r="AJ56" s="142" t="s">
        <v>26</v>
      </c>
      <c r="AK56" s="142" t="s">
        <v>27</v>
      </c>
      <c r="AL56" s="142" t="s">
        <v>28</v>
      </c>
    </row>
    <row r="57" spans="1:38" s="148" customFormat="1" x14ac:dyDescent="0.25">
      <c r="A57" s="212" t="s">
        <v>63</v>
      </c>
      <c r="B57" s="212"/>
      <c r="C57" s="179">
        <v>5000</v>
      </c>
      <c r="D57" s="179">
        <v>5000</v>
      </c>
      <c r="E57" s="179">
        <v>5000</v>
      </c>
      <c r="F57" s="179">
        <v>5000</v>
      </c>
      <c r="G57" s="179">
        <v>5000</v>
      </c>
      <c r="H57" s="179">
        <v>5000</v>
      </c>
      <c r="I57" s="179">
        <v>5000</v>
      </c>
      <c r="J57" s="179">
        <v>5000</v>
      </c>
      <c r="K57" s="179">
        <v>5000</v>
      </c>
      <c r="L57" s="179">
        <v>5000</v>
      </c>
      <c r="M57" s="179">
        <v>5000</v>
      </c>
      <c r="N57" s="179">
        <v>5000</v>
      </c>
      <c r="O57" s="179">
        <v>5000</v>
      </c>
      <c r="P57" s="179">
        <v>5000</v>
      </c>
      <c r="Q57" s="179">
        <v>5000</v>
      </c>
      <c r="R57" s="179">
        <v>5000</v>
      </c>
      <c r="S57" s="179">
        <v>5000</v>
      </c>
      <c r="T57" s="179">
        <v>5000</v>
      </c>
      <c r="U57" s="179">
        <v>5000</v>
      </c>
      <c r="V57" s="179">
        <v>5000</v>
      </c>
      <c r="W57" s="179">
        <v>5000</v>
      </c>
      <c r="X57" s="179">
        <v>5000</v>
      </c>
      <c r="Y57" s="179">
        <v>5000</v>
      </c>
      <c r="Z57" s="179">
        <v>5000</v>
      </c>
      <c r="AA57" s="179">
        <v>5000</v>
      </c>
      <c r="AB57" s="179">
        <v>5000</v>
      </c>
      <c r="AC57" s="179">
        <v>5000</v>
      </c>
      <c r="AD57" s="179">
        <v>5000</v>
      </c>
      <c r="AE57" s="179">
        <v>5000</v>
      </c>
      <c r="AF57" s="179">
        <v>5000</v>
      </c>
      <c r="AG57" s="179">
        <v>5000</v>
      </c>
      <c r="AH57" s="179">
        <v>5000</v>
      </c>
      <c r="AI57" s="179">
        <v>5000</v>
      </c>
      <c r="AJ57" s="179">
        <v>5000</v>
      </c>
      <c r="AK57" s="179">
        <v>5000</v>
      </c>
      <c r="AL57" s="179">
        <v>5000</v>
      </c>
    </row>
    <row r="58" spans="1:38" s="148" customFormat="1" x14ac:dyDescent="0.25">
      <c r="A58" s="212" t="s">
        <v>55</v>
      </c>
      <c r="B58" s="212"/>
      <c r="C58" s="179">
        <v>500</v>
      </c>
      <c r="D58" s="179">
        <v>500</v>
      </c>
      <c r="E58" s="179">
        <v>500</v>
      </c>
      <c r="F58" s="179">
        <v>500</v>
      </c>
      <c r="G58" s="179">
        <v>500</v>
      </c>
      <c r="H58" s="179">
        <v>500</v>
      </c>
      <c r="I58" s="179">
        <v>500</v>
      </c>
      <c r="J58" s="179">
        <v>500</v>
      </c>
      <c r="K58" s="179">
        <v>500</v>
      </c>
      <c r="L58" s="179">
        <v>500</v>
      </c>
      <c r="M58" s="179">
        <v>500</v>
      </c>
      <c r="N58" s="179">
        <v>500</v>
      </c>
      <c r="O58" s="179">
        <v>500</v>
      </c>
      <c r="P58" s="179">
        <v>500</v>
      </c>
      <c r="Q58" s="179">
        <v>500</v>
      </c>
      <c r="R58" s="179">
        <v>500</v>
      </c>
      <c r="S58" s="179">
        <v>500</v>
      </c>
      <c r="T58" s="179">
        <v>500</v>
      </c>
      <c r="U58" s="179">
        <v>500</v>
      </c>
      <c r="V58" s="179">
        <v>500</v>
      </c>
      <c r="W58" s="179">
        <v>500</v>
      </c>
      <c r="X58" s="179">
        <v>500</v>
      </c>
      <c r="Y58" s="179">
        <v>500</v>
      </c>
      <c r="Z58" s="179">
        <v>500</v>
      </c>
      <c r="AA58" s="179">
        <v>500</v>
      </c>
      <c r="AB58" s="179">
        <v>500</v>
      </c>
      <c r="AC58" s="179">
        <v>500</v>
      </c>
      <c r="AD58" s="179">
        <v>500</v>
      </c>
      <c r="AE58" s="179">
        <v>500</v>
      </c>
      <c r="AF58" s="179">
        <v>500</v>
      </c>
      <c r="AG58" s="179">
        <v>500</v>
      </c>
      <c r="AH58" s="179">
        <v>500</v>
      </c>
      <c r="AI58" s="179">
        <v>500</v>
      </c>
      <c r="AJ58" s="179">
        <v>500</v>
      </c>
      <c r="AK58" s="179">
        <v>500</v>
      </c>
      <c r="AL58" s="179">
        <v>500</v>
      </c>
    </row>
    <row r="59" spans="1:38" x14ac:dyDescent="0.25">
      <c r="A59" s="210" t="s">
        <v>56</v>
      </c>
      <c r="B59" s="210"/>
      <c r="C59" s="178">
        <v>1000</v>
      </c>
      <c r="D59" s="178">
        <v>1000</v>
      </c>
      <c r="E59" s="178">
        <v>1000</v>
      </c>
      <c r="F59" s="178">
        <v>1000</v>
      </c>
      <c r="G59" s="178">
        <v>1000</v>
      </c>
      <c r="H59" s="178">
        <v>1000</v>
      </c>
      <c r="I59" s="178">
        <v>1000</v>
      </c>
      <c r="J59" s="178">
        <v>1000</v>
      </c>
      <c r="K59" s="178">
        <v>1000</v>
      </c>
      <c r="L59" s="178">
        <v>1000</v>
      </c>
      <c r="M59" s="178">
        <v>1000</v>
      </c>
      <c r="N59" s="178">
        <v>1000</v>
      </c>
      <c r="O59" s="178">
        <v>1000</v>
      </c>
      <c r="P59" s="178">
        <v>1000</v>
      </c>
      <c r="Q59" s="178">
        <v>1000</v>
      </c>
      <c r="R59" s="178">
        <v>1000</v>
      </c>
      <c r="S59" s="178">
        <v>1000</v>
      </c>
      <c r="T59" s="178">
        <v>1000</v>
      </c>
      <c r="U59" s="178">
        <v>1000</v>
      </c>
      <c r="V59" s="178">
        <v>1000</v>
      </c>
      <c r="W59" s="178">
        <v>1000</v>
      </c>
      <c r="X59" s="178">
        <v>1000</v>
      </c>
      <c r="Y59" s="178">
        <v>1000</v>
      </c>
      <c r="Z59" s="178">
        <v>1000</v>
      </c>
      <c r="AA59" s="178">
        <v>1000</v>
      </c>
      <c r="AB59" s="178">
        <v>1000</v>
      </c>
      <c r="AC59" s="178">
        <v>1000</v>
      </c>
      <c r="AD59" s="178">
        <v>1000</v>
      </c>
      <c r="AE59" s="178">
        <v>1000</v>
      </c>
      <c r="AF59" s="178">
        <v>1000</v>
      </c>
      <c r="AG59" s="178">
        <v>1000</v>
      </c>
      <c r="AH59" s="178">
        <v>1000</v>
      </c>
      <c r="AI59" s="178">
        <v>1000</v>
      </c>
      <c r="AJ59" s="178">
        <v>1000</v>
      </c>
      <c r="AK59" s="178">
        <v>1000</v>
      </c>
      <c r="AL59" s="178">
        <v>1000</v>
      </c>
    </row>
    <row r="60" spans="1:38" ht="31.5" customHeight="1" x14ac:dyDescent="0.25">
      <c r="A60" s="210" t="s">
        <v>57</v>
      </c>
      <c r="B60" s="210"/>
      <c r="C60" s="178">
        <v>500</v>
      </c>
      <c r="D60" s="178">
        <v>500</v>
      </c>
      <c r="E60" s="178">
        <v>500</v>
      </c>
      <c r="F60" s="178">
        <v>500</v>
      </c>
      <c r="G60" s="178">
        <v>500</v>
      </c>
      <c r="H60" s="178">
        <v>500</v>
      </c>
      <c r="I60" s="178">
        <v>500</v>
      </c>
      <c r="J60" s="178">
        <v>500</v>
      </c>
      <c r="K60" s="178">
        <v>500</v>
      </c>
      <c r="L60" s="178">
        <v>500</v>
      </c>
      <c r="M60" s="178">
        <v>500</v>
      </c>
      <c r="N60" s="178">
        <v>500</v>
      </c>
      <c r="O60" s="178">
        <v>500</v>
      </c>
      <c r="P60" s="178">
        <v>500</v>
      </c>
      <c r="Q60" s="178">
        <v>500</v>
      </c>
      <c r="R60" s="178">
        <v>500</v>
      </c>
      <c r="S60" s="178">
        <v>500</v>
      </c>
      <c r="T60" s="178">
        <v>500</v>
      </c>
      <c r="U60" s="178">
        <v>500</v>
      </c>
      <c r="V60" s="178">
        <v>500</v>
      </c>
      <c r="W60" s="178">
        <v>500</v>
      </c>
      <c r="X60" s="178">
        <v>500</v>
      </c>
      <c r="Y60" s="178">
        <v>500</v>
      </c>
      <c r="Z60" s="178">
        <v>500</v>
      </c>
      <c r="AA60" s="178">
        <v>500</v>
      </c>
      <c r="AB60" s="178">
        <v>500</v>
      </c>
      <c r="AC60" s="178">
        <v>500</v>
      </c>
      <c r="AD60" s="178">
        <v>500</v>
      </c>
      <c r="AE60" s="178">
        <v>500</v>
      </c>
      <c r="AF60" s="178">
        <v>500</v>
      </c>
      <c r="AG60" s="178">
        <v>500</v>
      </c>
      <c r="AH60" s="178">
        <v>500</v>
      </c>
      <c r="AI60" s="178">
        <v>500</v>
      </c>
      <c r="AJ60" s="178">
        <v>500</v>
      </c>
      <c r="AK60" s="178">
        <v>500</v>
      </c>
      <c r="AL60" s="178">
        <v>500</v>
      </c>
    </row>
    <row r="61" spans="1:38" x14ac:dyDescent="0.25">
      <c r="A61" s="211" t="s">
        <v>71</v>
      </c>
      <c r="B61" s="211"/>
      <c r="C61" s="178"/>
      <c r="D61" s="178">
        <v>30000</v>
      </c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>
        <v>5000</v>
      </c>
      <c r="P61" s="178">
        <v>5000</v>
      </c>
      <c r="Q61" s="178">
        <v>5000</v>
      </c>
      <c r="R61" s="178">
        <v>5000</v>
      </c>
      <c r="S61" s="178">
        <v>5000</v>
      </c>
      <c r="T61" s="178">
        <v>5000</v>
      </c>
      <c r="U61" s="178">
        <v>5000</v>
      </c>
      <c r="V61" s="178">
        <v>5000</v>
      </c>
      <c r="W61" s="178">
        <v>5000</v>
      </c>
      <c r="X61" s="178">
        <v>5000</v>
      </c>
      <c r="Y61" s="178">
        <v>5000</v>
      </c>
      <c r="Z61" s="178">
        <v>5000</v>
      </c>
      <c r="AA61" s="178">
        <v>5000</v>
      </c>
      <c r="AB61" s="178">
        <v>5000</v>
      </c>
      <c r="AC61" s="178">
        <v>5000</v>
      </c>
      <c r="AD61" s="178">
        <v>5000</v>
      </c>
      <c r="AE61" s="178">
        <v>5000</v>
      </c>
      <c r="AF61" s="178">
        <v>5000</v>
      </c>
      <c r="AG61" s="178">
        <v>5000</v>
      </c>
      <c r="AH61" s="178">
        <v>5000</v>
      </c>
      <c r="AI61" s="178">
        <v>5000</v>
      </c>
      <c r="AJ61" s="178">
        <v>5000</v>
      </c>
      <c r="AK61" s="178">
        <v>5000</v>
      </c>
      <c r="AL61" s="178">
        <v>5000</v>
      </c>
    </row>
    <row r="62" spans="1:38" ht="32.25" customHeight="1" x14ac:dyDescent="0.25">
      <c r="A62" s="210" t="s">
        <v>58</v>
      </c>
      <c r="B62" s="210"/>
      <c r="C62" s="178"/>
      <c r="D62" s="178"/>
      <c r="E62" s="178"/>
      <c r="F62" s="178"/>
      <c r="G62" s="178"/>
      <c r="H62" s="178">
        <v>2000</v>
      </c>
      <c r="I62" s="178">
        <v>2000</v>
      </c>
      <c r="J62" s="178">
        <v>2000</v>
      </c>
      <c r="K62" s="178">
        <v>2000</v>
      </c>
      <c r="L62" s="178">
        <v>2000</v>
      </c>
      <c r="M62" s="178">
        <v>2000</v>
      </c>
      <c r="N62" s="178">
        <v>2000</v>
      </c>
      <c r="O62" s="178">
        <v>2000</v>
      </c>
      <c r="P62" s="178">
        <v>2000</v>
      </c>
      <c r="Q62" s="178">
        <v>2000</v>
      </c>
      <c r="R62" s="178">
        <v>2000</v>
      </c>
      <c r="S62" s="178">
        <v>2000</v>
      </c>
      <c r="T62" s="178">
        <v>2000</v>
      </c>
      <c r="U62" s="178">
        <v>2000</v>
      </c>
      <c r="V62" s="178">
        <v>2000</v>
      </c>
      <c r="W62" s="178">
        <v>2000</v>
      </c>
      <c r="X62" s="178">
        <v>2000</v>
      </c>
      <c r="Y62" s="178">
        <v>2000</v>
      </c>
      <c r="Z62" s="178">
        <v>2000</v>
      </c>
      <c r="AA62" s="178">
        <v>2000</v>
      </c>
      <c r="AB62" s="178">
        <v>2000</v>
      </c>
      <c r="AC62" s="178">
        <v>2000</v>
      </c>
      <c r="AD62" s="178">
        <v>2000</v>
      </c>
      <c r="AE62" s="178">
        <v>2000</v>
      </c>
      <c r="AF62" s="178">
        <v>2000</v>
      </c>
      <c r="AG62" s="178">
        <v>2000</v>
      </c>
      <c r="AH62" s="178">
        <v>2000</v>
      </c>
      <c r="AI62" s="178">
        <v>2000</v>
      </c>
      <c r="AJ62" s="178">
        <v>2000</v>
      </c>
      <c r="AK62" s="178">
        <v>2000</v>
      </c>
      <c r="AL62" s="178">
        <v>2000</v>
      </c>
    </row>
    <row r="63" spans="1:38" x14ac:dyDescent="0.25">
      <c r="A63" s="210" t="s">
        <v>59</v>
      </c>
      <c r="B63" s="210"/>
      <c r="C63" s="178">
        <v>100</v>
      </c>
      <c r="D63" s="178">
        <v>100</v>
      </c>
      <c r="E63" s="178">
        <v>100</v>
      </c>
      <c r="F63" s="178">
        <v>100</v>
      </c>
      <c r="G63" s="178">
        <v>100</v>
      </c>
      <c r="H63" s="178">
        <v>100</v>
      </c>
      <c r="I63" s="178">
        <v>100</v>
      </c>
      <c r="J63" s="178">
        <v>100</v>
      </c>
      <c r="K63" s="178">
        <v>100</v>
      </c>
      <c r="L63" s="178">
        <v>100</v>
      </c>
      <c r="M63" s="178">
        <v>100</v>
      </c>
      <c r="N63" s="178">
        <v>100</v>
      </c>
      <c r="O63" s="178">
        <v>100</v>
      </c>
      <c r="P63" s="178">
        <v>100</v>
      </c>
      <c r="Q63" s="178">
        <v>100</v>
      </c>
      <c r="R63" s="178">
        <v>100</v>
      </c>
      <c r="S63" s="178">
        <v>100</v>
      </c>
      <c r="T63" s="178">
        <v>100</v>
      </c>
      <c r="U63" s="178">
        <v>100</v>
      </c>
      <c r="V63" s="178">
        <v>100</v>
      </c>
      <c r="W63" s="178">
        <v>100</v>
      </c>
      <c r="X63" s="178">
        <v>100</v>
      </c>
      <c r="Y63" s="178">
        <v>100</v>
      </c>
      <c r="Z63" s="178">
        <v>100</v>
      </c>
      <c r="AA63" s="178">
        <v>100</v>
      </c>
      <c r="AB63" s="178">
        <v>100</v>
      </c>
      <c r="AC63" s="178">
        <v>100</v>
      </c>
      <c r="AD63" s="178">
        <v>100</v>
      </c>
      <c r="AE63" s="178">
        <v>100</v>
      </c>
      <c r="AF63" s="178">
        <v>100</v>
      </c>
      <c r="AG63" s="178">
        <v>100</v>
      </c>
      <c r="AH63" s="178">
        <v>100</v>
      </c>
      <c r="AI63" s="178">
        <v>100</v>
      </c>
      <c r="AJ63" s="178">
        <v>100</v>
      </c>
      <c r="AK63" s="178">
        <v>100</v>
      </c>
      <c r="AL63" s="178">
        <v>100</v>
      </c>
    </row>
    <row r="64" spans="1:38" x14ac:dyDescent="0.25">
      <c r="A64" s="210" t="s">
        <v>279</v>
      </c>
      <c r="B64" s="210"/>
      <c r="C64" s="178">
        <v>700</v>
      </c>
      <c r="D64" s="178">
        <v>700</v>
      </c>
      <c r="E64" s="178">
        <v>700</v>
      </c>
      <c r="F64" s="178">
        <v>700</v>
      </c>
      <c r="G64" s="178">
        <v>700</v>
      </c>
      <c r="H64" s="178">
        <v>700</v>
      </c>
      <c r="I64" s="178">
        <v>700</v>
      </c>
      <c r="J64" s="178">
        <v>700</v>
      </c>
      <c r="K64" s="178">
        <v>700</v>
      </c>
      <c r="L64" s="178">
        <v>700</v>
      </c>
      <c r="M64" s="178">
        <v>700</v>
      </c>
      <c r="N64" s="178">
        <v>700</v>
      </c>
      <c r="O64" s="178">
        <v>700</v>
      </c>
      <c r="P64" s="178">
        <v>700</v>
      </c>
      <c r="Q64" s="178">
        <v>700</v>
      </c>
      <c r="R64" s="178">
        <v>700</v>
      </c>
      <c r="S64" s="178">
        <v>700</v>
      </c>
      <c r="T64" s="178">
        <v>700</v>
      </c>
      <c r="U64" s="178">
        <v>700</v>
      </c>
      <c r="V64" s="178">
        <v>700</v>
      </c>
      <c r="W64" s="178">
        <v>700</v>
      </c>
      <c r="X64" s="178">
        <v>700</v>
      </c>
      <c r="Y64" s="178">
        <v>700</v>
      </c>
      <c r="Z64" s="178">
        <v>700</v>
      </c>
      <c r="AA64" s="178">
        <v>700</v>
      </c>
      <c r="AB64" s="178">
        <v>700</v>
      </c>
      <c r="AC64" s="178">
        <v>700</v>
      </c>
      <c r="AD64" s="178">
        <v>700</v>
      </c>
      <c r="AE64" s="178">
        <v>700</v>
      </c>
      <c r="AF64" s="178">
        <v>700</v>
      </c>
      <c r="AG64" s="178">
        <v>700</v>
      </c>
      <c r="AH64" s="178">
        <v>700</v>
      </c>
      <c r="AI64" s="178">
        <v>700</v>
      </c>
      <c r="AJ64" s="178">
        <v>700</v>
      </c>
      <c r="AK64" s="178">
        <v>700</v>
      </c>
      <c r="AL64" s="178">
        <v>700</v>
      </c>
    </row>
    <row r="66" spans="1:38" x14ac:dyDescent="0.25">
      <c r="A66" s="136" t="s">
        <v>143</v>
      </c>
    </row>
    <row r="67" spans="1:38" x14ac:dyDescent="0.25">
      <c r="A67" s="206" t="s">
        <v>168</v>
      </c>
      <c r="B67" s="203" t="s">
        <v>110</v>
      </c>
      <c r="C67" s="207" t="s">
        <v>29</v>
      </c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9"/>
      <c r="O67" s="207" t="s">
        <v>30</v>
      </c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9"/>
      <c r="AA67" s="207" t="s">
        <v>31</v>
      </c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9"/>
    </row>
    <row r="68" spans="1:38" x14ac:dyDescent="0.25">
      <c r="A68" s="206"/>
      <c r="B68" s="203"/>
      <c r="C68" s="142" t="s">
        <v>17</v>
      </c>
      <c r="D68" s="142" t="s">
        <v>18</v>
      </c>
      <c r="E68" s="142" t="s">
        <v>19</v>
      </c>
      <c r="F68" s="142" t="s">
        <v>20</v>
      </c>
      <c r="G68" s="142" t="s">
        <v>21</v>
      </c>
      <c r="H68" s="142" t="s">
        <v>22</v>
      </c>
      <c r="I68" s="142" t="s">
        <v>23</v>
      </c>
      <c r="J68" s="142" t="s">
        <v>24</v>
      </c>
      <c r="K68" s="142" t="s">
        <v>25</v>
      </c>
      <c r="L68" s="142" t="s">
        <v>26</v>
      </c>
      <c r="M68" s="142" t="s">
        <v>27</v>
      </c>
      <c r="N68" s="142" t="s">
        <v>28</v>
      </c>
      <c r="O68" s="142" t="s">
        <v>17</v>
      </c>
      <c r="P68" s="142" t="s">
        <v>18</v>
      </c>
      <c r="Q68" s="142" t="s">
        <v>19</v>
      </c>
      <c r="R68" s="142" t="s">
        <v>20</v>
      </c>
      <c r="S68" s="142" t="s">
        <v>21</v>
      </c>
      <c r="T68" s="142" t="s">
        <v>22</v>
      </c>
      <c r="U68" s="142" t="s">
        <v>23</v>
      </c>
      <c r="V68" s="142" t="s">
        <v>24</v>
      </c>
      <c r="W68" s="142" t="s">
        <v>25</v>
      </c>
      <c r="X68" s="142" t="s">
        <v>26</v>
      </c>
      <c r="Y68" s="142" t="s">
        <v>27</v>
      </c>
      <c r="Z68" s="142" t="s">
        <v>28</v>
      </c>
      <c r="AA68" s="142" t="s">
        <v>17</v>
      </c>
      <c r="AB68" s="142" t="s">
        <v>18</v>
      </c>
      <c r="AC68" s="142" t="s">
        <v>19</v>
      </c>
      <c r="AD68" s="142" t="s">
        <v>20</v>
      </c>
      <c r="AE68" s="142" t="s">
        <v>21</v>
      </c>
      <c r="AF68" s="142" t="s">
        <v>22</v>
      </c>
      <c r="AG68" s="142" t="s">
        <v>23</v>
      </c>
      <c r="AH68" s="142" t="s">
        <v>24</v>
      </c>
      <c r="AI68" s="142" t="s">
        <v>25</v>
      </c>
      <c r="AJ68" s="142" t="s">
        <v>26</v>
      </c>
      <c r="AK68" s="142" t="s">
        <v>27</v>
      </c>
      <c r="AL68" s="142" t="s">
        <v>28</v>
      </c>
    </row>
    <row r="69" spans="1:38" x14ac:dyDescent="0.25">
      <c r="A69" s="193" t="s">
        <v>43</v>
      </c>
      <c r="B69" s="177">
        <v>3</v>
      </c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</row>
    <row r="70" spans="1:38" x14ac:dyDescent="0.25">
      <c r="A70" s="193" t="s">
        <v>44</v>
      </c>
      <c r="B70" s="177">
        <v>2</v>
      </c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1:38" x14ac:dyDescent="0.25">
      <c r="A71" s="193" t="s">
        <v>45</v>
      </c>
      <c r="B71" s="177">
        <v>2</v>
      </c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</row>
    <row r="72" spans="1:38" ht="32.25" customHeight="1" x14ac:dyDescent="0.25">
      <c r="A72" s="217" t="s">
        <v>280</v>
      </c>
      <c r="B72" s="218"/>
      <c r="C72" s="178">
        <v>350000</v>
      </c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</row>
    <row r="73" spans="1:38" s="144" customFormat="1" hidden="1" outlineLevel="1" x14ac:dyDescent="0.25">
      <c r="A73" s="149" t="s">
        <v>111</v>
      </c>
      <c r="B73" s="149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</row>
    <row r="74" spans="1:38" s="144" customFormat="1" hidden="1" outlineLevel="1" x14ac:dyDescent="0.25">
      <c r="A74" s="150" t="str">
        <f>A69</f>
        <v>Оборудование 1</v>
      </c>
      <c r="B74" s="151"/>
      <c r="C74" s="152">
        <f>IF(B74=0,IF(C69=0,0,C69/($B69*12)),IF(SUM(B$74:$C74)=SUM($C$69:C69),0,B74))</f>
        <v>0</v>
      </c>
      <c r="D74" s="152">
        <f>IF(C74=0,IF(D69=0,0,D69/($B69*12)),IF(SUM($C$74:C74)=SUM($C$69:D69),0,C74))</f>
        <v>0</v>
      </c>
      <c r="E74" s="152">
        <f>IF(D74=0,IF(E69=0,0,E69/($B69*12)),IF(SUM($C$74:D74)=SUM($C$69:E69),0,D74))</f>
        <v>0</v>
      </c>
      <c r="F74" s="152">
        <f>IF(E74=0,IF(F69=0,0,F69/($B69*12)),IF(SUM($C$74:E74)=SUM($C$69:F69),0,E74))</f>
        <v>0</v>
      </c>
      <c r="G74" s="152">
        <f>IF(F74=0,IF(G69=0,0,G69/($B69*12)),IF(SUM($C$74:F74)=SUM($C$69:G69),0,F74))</f>
        <v>0</v>
      </c>
      <c r="H74" s="152">
        <f>IF(G74=0,IF(H69=0,0,H69/($B69*12)),IF(SUM($C$74:G74)=SUM($C$69:H69),0,G74))</f>
        <v>0</v>
      </c>
      <c r="I74" s="152">
        <f>IF(H74=0,IF(I69=0,0,I69/($B69*12)),IF(SUM($C$74:H74)=SUM($C$69:I69),0,H74))</f>
        <v>0</v>
      </c>
      <c r="J74" s="152">
        <f>IF(I74=0,IF(J69=0,0,J69/($B69*12)),IF(SUM($C$74:I74)=SUM($C$69:J69),0,I74))</f>
        <v>0</v>
      </c>
      <c r="K74" s="152">
        <f>IF(J74=0,IF(K69=0,0,K69/($B69*12)),IF(SUM($C$74:J74)=SUM($C$69:K69),0,J74))</f>
        <v>0</v>
      </c>
      <c r="L74" s="152">
        <f>IF(K74=0,IF(L69=0,0,L69/($B69*12)),IF(SUM($C$74:K74)=SUM($C$69:L69),0,K74))</f>
        <v>0</v>
      </c>
      <c r="M74" s="152">
        <f>IF(L74=0,IF(M69=0,0,M69/($B69*12)),IF(SUM($C$74:L74)=SUM($C$69:M69),0,L74))</f>
        <v>0</v>
      </c>
      <c r="N74" s="152">
        <f>IF(M74=0,IF(N69=0,0,N69/($B69*12)),IF(SUM($C$74:M74)=SUM($C$69:N69),0,M74))</f>
        <v>0</v>
      </c>
      <c r="O74" s="152">
        <f>IF(N74=0,IF(O69=0,0,O69/($B69*12)),IF(SUM($C$74:N74)=SUM($C$69:O69),0,N74))</f>
        <v>0</v>
      </c>
      <c r="P74" s="152">
        <f>IF(O74=0,IF(P69=0,0,P69/($B69*12)),IF(SUM($C$74:O74)=SUM($C$69:P69),0,O74))</f>
        <v>0</v>
      </c>
      <c r="Q74" s="152">
        <f>IF(P74=0,IF(Q69=0,0,Q69/($B69*12)),IF(SUM($C$74:P74)=SUM($C$69:Q69),0,P74))</f>
        <v>0</v>
      </c>
      <c r="R74" s="152">
        <f>IF(Q74=0,IF(R69=0,0,R69/($B69*12)),IF(SUM($C$74:Q74)=SUM($C$69:R69),0,Q74))</f>
        <v>0</v>
      </c>
      <c r="S74" s="152">
        <f>IF(R74=0,IF(S69=0,0,S69/($B69*12)),IF(SUM($C$74:R74)=SUM($C$69:S69),0,R74))</f>
        <v>0</v>
      </c>
      <c r="T74" s="152">
        <f>IF(S74=0,IF(T69=0,0,T69/($B69*12)),IF(SUM($C$74:S74)=SUM($C$69:T69),0,S74))</f>
        <v>0</v>
      </c>
      <c r="U74" s="152">
        <f>IF(T74=0,IF(U69=0,0,U69/($B69*12)),IF(SUM($C$74:T74)=SUM($C$69:U69),0,T74))</f>
        <v>0</v>
      </c>
      <c r="V74" s="152">
        <f>IF(U74=0,IF(V69=0,0,V69/($B69*12)),IF(SUM($C$74:U74)=SUM($C$69:V69),0,U74))</f>
        <v>0</v>
      </c>
      <c r="W74" s="152">
        <f>IF(V74=0,IF(W69=0,0,W69/($B69*12)),IF(SUM($C$74:V74)=SUM($C$69:W69),0,V74))</f>
        <v>0</v>
      </c>
      <c r="X74" s="152">
        <f>IF(W74=0,IF(X69=0,0,X69/($B69*12)),IF(SUM($C$74:W74)=SUM($C$69:X69),0,W74))</f>
        <v>0</v>
      </c>
      <c r="Y74" s="152">
        <f>IF(X74=0,IF(Y69=0,0,Y69/($B69*12)),IF(SUM($C$74:X74)=SUM($C$69:Y69),0,X74))</f>
        <v>0</v>
      </c>
      <c r="Z74" s="152">
        <f>IF(Y74=0,IF(Z69=0,0,Z69/($B69*12)),IF(SUM($C$74:Y74)=SUM($C$69:Z69),0,Y74))</f>
        <v>0</v>
      </c>
      <c r="AA74" s="152">
        <f>IF(Z74=0,IF(AA69=0,0,AA69/($B69*12)),IF(SUM($C$74:Z74)=SUM($C$69:AA69),0,Z74))</f>
        <v>0</v>
      </c>
      <c r="AB74" s="152">
        <f>IF(AA74=0,IF(AB69=0,0,AB69/($B69*12)),IF(SUM($C$74:AA74)=SUM($C$69:AB69),0,AA74))</f>
        <v>0</v>
      </c>
      <c r="AC74" s="152">
        <f>IF(AB74=0,IF(AC69=0,0,AC69/($B69*12)),IF(SUM($C$74:AB74)=SUM($C$69:AC69),0,AB74))</f>
        <v>0</v>
      </c>
      <c r="AD74" s="152">
        <f>IF(AC74=0,IF(AD69=0,0,AD69/($B69*12)),IF(SUM($C$74:AC74)=SUM($C$69:AD69),0,AC74))</f>
        <v>0</v>
      </c>
      <c r="AE74" s="152">
        <f>IF(AD74=0,IF(AE69=0,0,AE69/($B69*12)),IF(SUM($C$74:AD74)=SUM($C$69:AE69),0,AD74))</f>
        <v>0</v>
      </c>
      <c r="AF74" s="152">
        <f>IF(AE74=0,IF(AF69=0,0,AF69/($B69*12)),IF(SUM($C$74:AE74)=SUM($C$69:AF69),0,AE74))</f>
        <v>0</v>
      </c>
      <c r="AG74" s="152">
        <f>IF(AF74=0,IF(AG69=0,0,AG69/($B69*12)),IF(SUM($C$74:AF74)=SUM($C$69:AG69),0,AF74))</f>
        <v>0</v>
      </c>
      <c r="AH74" s="152">
        <f>IF(AG74=0,IF(AH69=0,0,AH69/($B69*12)),IF(SUM($C$74:AG74)=SUM($C$69:AH69),0,AG74))</f>
        <v>0</v>
      </c>
      <c r="AI74" s="152">
        <f>IF(AH74=0,IF(AI69=0,0,AI69/($B69*12)),IF(SUM($C$74:AH74)=SUM($C$69:AI69),0,AH74))</f>
        <v>0</v>
      </c>
      <c r="AJ74" s="152">
        <f>IF(AI74=0,IF(AJ69=0,0,AJ69/($B69*12)),IF(SUM($C$74:AI74)=SUM($C$69:AJ69),0,AI74))</f>
        <v>0</v>
      </c>
      <c r="AK74" s="152">
        <f>IF(AJ74=0,IF(AK69=0,0,AK69/($B69*12)),IF(SUM($C$74:AJ74)=SUM($C$69:AK69),0,AJ74))</f>
        <v>0</v>
      </c>
      <c r="AL74" s="152">
        <f>IF(AK74=0,IF(AL69=0,0,AL69/($B69*12)),IF(SUM($C$74:AK74)=SUM($C$69:AL69),0,AK74))</f>
        <v>0</v>
      </c>
    </row>
    <row r="75" spans="1:38" s="144" customFormat="1" hidden="1" outlineLevel="1" x14ac:dyDescent="0.25">
      <c r="A75" s="150" t="str">
        <f>A70</f>
        <v>Оборудование 2</v>
      </c>
      <c r="B75" s="151"/>
      <c r="C75" s="152">
        <f>IF(B75=0,IF(C70=0,0,C70/($B70*12)),IF(SUM(B$75:$C75)=SUM($C$70:C70),0,B75))</f>
        <v>0</v>
      </c>
      <c r="D75" s="152">
        <f>IF(C75=0,IF(D70=0,0,D70/($B70*12)),IF(SUM(C$75:$C75)=SUM($C$70:D70),0,C75))</f>
        <v>0</v>
      </c>
      <c r="E75" s="152">
        <f>IF(D75=0,IF(E70=0,0,E70/($B70*12)),IF(SUM($C$75:D75)=SUM($C$70:E70),0,D75))</f>
        <v>0</v>
      </c>
      <c r="F75" s="152">
        <f>IF(E75=0,IF(F70=0,0,F70/($B70*12)),IF(SUM($C$75:E75)=SUM($C$70:F70),0,E75))</f>
        <v>0</v>
      </c>
      <c r="G75" s="152">
        <f>IF(F75=0,IF(G70=0,0,G70/($B70*12)),IF(SUM($C$75:F75)=SUM($C$70:G70),0,F75))</f>
        <v>0</v>
      </c>
      <c r="H75" s="152">
        <f>IF(G75=0,IF(H70=0,0,H70/($B70*12)),IF(SUM($C$75:G75)=SUM($C$70:H70),0,G75))</f>
        <v>0</v>
      </c>
      <c r="I75" s="152">
        <f>IF(H75=0,IF(I70=0,0,I70/($B70*12)),IF(SUM($C$75:H75)=SUM($C$70:I70),0,H75))</f>
        <v>0</v>
      </c>
      <c r="J75" s="152">
        <f>IF(I75=0,IF(J70=0,0,J70/($B70*12)),IF(SUM($C$75:I75)=SUM($C$70:J70),0,I75))</f>
        <v>0</v>
      </c>
      <c r="K75" s="152">
        <f>IF(J75=0,IF(K70=0,0,K70/($B70*12)),IF(SUM($C$75:J75)=SUM($C$70:K70),0,J75))</f>
        <v>0</v>
      </c>
      <c r="L75" s="152">
        <f>IF(K75=0,IF(L70=0,0,L70/($B70*12)),IF(SUM($C$75:K75)=SUM($C$70:L70),0,K75))</f>
        <v>0</v>
      </c>
      <c r="M75" s="152">
        <f>IF(L75=0,IF(M70=0,0,M70/($B70*12)),IF(SUM($C$75:L75)=SUM($C$70:M70),0,L75))</f>
        <v>0</v>
      </c>
      <c r="N75" s="152">
        <f>IF(M75=0,IF(N70=0,0,N70/($B70*12)),IF(SUM($C$75:M75)=SUM($C$70:N70),0,M75))</f>
        <v>0</v>
      </c>
      <c r="O75" s="152">
        <f>IF(N75=0,IF(O70=0,0,O70/($B70*12)),IF(SUM($C$75:N75)=SUM($C$70:O70),0,N75))</f>
        <v>0</v>
      </c>
      <c r="P75" s="152">
        <f>IF(O75=0,IF(P70=0,0,P70/($B70*12)),IF(SUM($C$75:O75)=SUM($C$70:P70),0,O75))</f>
        <v>0</v>
      </c>
      <c r="Q75" s="152">
        <f>IF(P75=0,IF(Q70=0,0,Q70/($B70*12)),IF(SUM($C$75:P75)=SUM($C$70:Q70),0,P75))</f>
        <v>0</v>
      </c>
      <c r="R75" s="152">
        <f>IF(Q75=0,IF(R70=0,0,R70/($B70*12)),IF(SUM($C$75:Q75)=SUM($C$70:R70),0,Q75))</f>
        <v>0</v>
      </c>
      <c r="S75" s="152">
        <f>IF(R75=0,IF(S70=0,0,S70/($B70*12)),IF(SUM($C$75:R75)=SUM($C$70:S70),0,R75))</f>
        <v>0</v>
      </c>
      <c r="T75" s="152">
        <f>IF(S75=0,IF(T70=0,0,T70/($B70*12)),IF(SUM($C$75:S75)=SUM($C$70:T70),0,S75))</f>
        <v>0</v>
      </c>
      <c r="U75" s="152">
        <f>IF(T75=0,IF(U70=0,0,U70/($B70*12)),IF(SUM($C$75:T75)=SUM($C$70:U70),0,T75))</f>
        <v>0</v>
      </c>
      <c r="V75" s="152">
        <f>IF(U75=0,IF(V70=0,0,V70/($B70*12)),IF(SUM($C$75:U75)=SUM($C$70:V70),0,U75))</f>
        <v>0</v>
      </c>
      <c r="W75" s="152">
        <f>IF(V75=0,IF(W70=0,0,W70/($B70*12)),IF(SUM($C$75:V75)=SUM($C$70:W70),0,V75))</f>
        <v>0</v>
      </c>
      <c r="X75" s="152">
        <f>IF(W75=0,IF(X70=0,0,X70/($B70*12)),IF(SUM($C$75:W75)=SUM($C$70:X70),0,W75))</f>
        <v>0</v>
      </c>
      <c r="Y75" s="152">
        <f>IF(X75=0,IF(Y70=0,0,Y70/($B70*12)),IF(SUM($C$75:X75)=SUM($C$70:Y70),0,X75))</f>
        <v>0</v>
      </c>
      <c r="Z75" s="152">
        <f>IF(Y75=0,IF(Z70=0,0,Z70/($B70*12)),IF(SUM($C$75:Y75)=SUM($C$70:Z70),0,Y75))</f>
        <v>0</v>
      </c>
      <c r="AA75" s="152">
        <f>IF(Z75=0,IF(AA70=0,0,AA70/($B70*12)),IF(SUM($C$75:Z75)=SUM($C$70:AA70),0,Z75))</f>
        <v>0</v>
      </c>
      <c r="AB75" s="152">
        <f>IF(AA75=0,IF(AB70=0,0,AB70/($B70*12)),IF(SUM($C$75:AA75)=SUM($C$70:AB70),0,AA75))</f>
        <v>0</v>
      </c>
      <c r="AC75" s="152">
        <f>IF(AB75=0,IF(AC70=0,0,AC70/($B70*12)),IF(SUM($C$75:AB75)=SUM($C$70:AC70),0,AB75))</f>
        <v>0</v>
      </c>
      <c r="AD75" s="152">
        <f>IF(AC75=0,IF(AD70=0,0,AD70/($B70*12)),IF(SUM($C$75:AC75)=SUM($C$70:AD70),0,AC75))</f>
        <v>0</v>
      </c>
      <c r="AE75" s="152">
        <f>IF(AD75=0,IF(AE70=0,0,AE70/($B70*12)),IF(SUM($C$75:AD75)=SUM($C$70:AE70),0,AD75))</f>
        <v>0</v>
      </c>
      <c r="AF75" s="152">
        <f>IF(AE75=0,IF(AF70=0,0,AF70/($B70*12)),IF(SUM($C$75:AE75)=SUM($C$70:AF70),0,AE75))</f>
        <v>0</v>
      </c>
      <c r="AG75" s="152">
        <f>IF(AF75=0,IF(AG70=0,0,AG70/($B70*12)),IF(SUM($C$75:AF75)=SUM($C$70:AG70),0,AF75))</f>
        <v>0</v>
      </c>
      <c r="AH75" s="152">
        <f>IF(AG75=0,IF(AH70=0,0,AH70/($B70*12)),IF(SUM($C$75:AG75)=SUM($C$70:AH70),0,AG75))</f>
        <v>0</v>
      </c>
      <c r="AI75" s="152">
        <f>IF(AH75=0,IF(AI70=0,0,AI70/($B70*12)),IF(SUM($C$75:AH75)=SUM($C$70:AI70),0,AH75))</f>
        <v>0</v>
      </c>
      <c r="AJ75" s="152">
        <f>IF(AI75=0,IF(AJ70=0,0,AJ70/($B70*12)),IF(SUM($C$75:AI75)=SUM($C$70:AJ70),0,AI75))</f>
        <v>0</v>
      </c>
      <c r="AK75" s="152">
        <f>IF(AJ75=0,IF(AK70=0,0,AK70/($B70*12)),IF(SUM($C$75:AJ75)=SUM($C$70:AK70),0,AJ75))</f>
        <v>0</v>
      </c>
      <c r="AL75" s="152">
        <f>IF(AK75=0,IF(AL70=0,0,AL70/($B70*12)),IF(SUM($C$75:AK75)=SUM($C$70:AL70),0,AK75))</f>
        <v>0</v>
      </c>
    </row>
    <row r="76" spans="1:38" s="144" customFormat="1" hidden="1" outlineLevel="1" x14ac:dyDescent="0.25">
      <c r="A76" s="150" t="str">
        <f>A71</f>
        <v>Оборудование 3</v>
      </c>
      <c r="B76" s="151"/>
      <c r="C76" s="152">
        <f>IF(B76=0,IF(C71=0,0,C71/($B71*12)),IF(SUM(B$76:$C76)=SUM($C$71:C71),0,B76))</f>
        <v>0</v>
      </c>
      <c r="D76" s="152">
        <f>IF(C76=0,IF(D71=0,0,D71/($B71*12)),IF(SUM(C$76:$C76)=SUM($C$71:D71),0,C76))</f>
        <v>0</v>
      </c>
      <c r="E76" s="152">
        <f>IF(D76=0,IF(E71=0,0,E71/($B71*12)),IF(SUM($C$76:D76)=SUM($C$71:E71),0,D76))</f>
        <v>0</v>
      </c>
      <c r="F76" s="152">
        <f>IF(E76=0,IF(F71=0,0,F71/($B71*12)),IF(SUM($C$76:E76)=SUM($C$71:F71),0,E76))</f>
        <v>0</v>
      </c>
      <c r="G76" s="152">
        <f>IF(F76=0,IF(G71=0,0,G71/($B71*12)),IF(SUM($C$76:F76)=SUM($C$71:G71),0,F76))</f>
        <v>0</v>
      </c>
      <c r="H76" s="152">
        <f>IF(G76=0,IF(H71=0,0,H71/($B71*12)),IF(SUM($C$76:G76)=SUM($C$71:H71),0,G76))</f>
        <v>0</v>
      </c>
      <c r="I76" s="152">
        <f>IF(H76=0,IF(I71=0,0,I71/($B71*12)),IF(SUM($C$76:H76)=SUM($C$71:I71),0,H76))</f>
        <v>0</v>
      </c>
      <c r="J76" s="152">
        <f>IF(I76=0,IF(J71=0,0,J71/($B71*12)),IF(SUM($C$76:I76)=SUM($C$71:J71),0,I76))</f>
        <v>0</v>
      </c>
      <c r="K76" s="152">
        <f>IF(J76=0,IF(K71=0,0,K71/($B71*12)),IF(SUM($C$76:J76)=SUM($C$71:K71),0,J76))</f>
        <v>0</v>
      </c>
      <c r="L76" s="152">
        <f>IF(K76=0,IF(L71=0,0,L71/($B71*12)),IF(SUM($C$76:K76)=SUM($C$71:L71),0,K76))</f>
        <v>0</v>
      </c>
      <c r="M76" s="152">
        <f>IF(L76=0,IF(M71=0,0,M71/($B71*12)),IF(SUM($C$76:L76)=SUM($C$71:M71),0,L76))</f>
        <v>0</v>
      </c>
      <c r="N76" s="152">
        <f>IF(M76=0,IF(N71=0,0,N71/($B71*12)),IF(SUM($C$76:M76)=SUM($C$71:N71),0,M76))</f>
        <v>0</v>
      </c>
      <c r="O76" s="152">
        <f>IF(N76=0,IF(O71=0,0,O71/($B71*12)),IF(SUM($C$76:N76)=SUM($C$71:O71),0,N76))</f>
        <v>0</v>
      </c>
      <c r="P76" s="152">
        <f>IF(O76=0,IF(P71=0,0,P71/($B71*12)),IF(SUM($C$76:O76)=SUM($C$71:P71),0,O76))</f>
        <v>0</v>
      </c>
      <c r="Q76" s="152">
        <f>IF(P76=0,IF(Q71=0,0,Q71/($B71*12)),IF(SUM($C$76:P76)=SUM($C$71:Q71),0,P76))</f>
        <v>0</v>
      </c>
      <c r="R76" s="152">
        <f>IF(Q76=0,IF(R71=0,0,R71/($B71*12)),IF(SUM($C$76:Q76)=SUM($C$71:R71),0,Q76))</f>
        <v>0</v>
      </c>
      <c r="S76" s="152">
        <f>IF(R76=0,IF(S71=0,0,S71/($B71*12)),IF(SUM($C$76:R76)=SUM($C$71:S71),0,R76))</f>
        <v>0</v>
      </c>
      <c r="T76" s="152">
        <f>IF(S76=0,IF(T71=0,0,T71/($B71*12)),IF(SUM($C$76:S76)=SUM($C$71:T71),0,S76))</f>
        <v>0</v>
      </c>
      <c r="U76" s="152">
        <f>IF(T76=0,IF(U71=0,0,U71/($B71*12)),IF(SUM($C$76:T76)=SUM($C$71:U71),0,T76))</f>
        <v>0</v>
      </c>
      <c r="V76" s="152">
        <f>IF(U76=0,IF(V71=0,0,V71/($B71*12)),IF(SUM($C$76:U76)=SUM($C$71:V71),0,U76))</f>
        <v>0</v>
      </c>
      <c r="W76" s="152">
        <f>IF(V76=0,IF(W71=0,0,W71/($B71*12)),IF(SUM($C$76:V76)=SUM($C$71:W71),0,V76))</f>
        <v>0</v>
      </c>
      <c r="X76" s="152">
        <f>IF(W76=0,IF(X71=0,0,X71/($B71*12)),IF(SUM($C$76:W76)=SUM($C$71:X71),0,W76))</f>
        <v>0</v>
      </c>
      <c r="Y76" s="152">
        <f>IF(X76=0,IF(Y71=0,0,Y71/($B71*12)),IF(SUM($C$76:X76)=SUM($C$71:Y71),0,X76))</f>
        <v>0</v>
      </c>
      <c r="Z76" s="152">
        <f>IF(Y76=0,IF(Z71=0,0,Z71/($B71*12)),IF(SUM($C$76:Y76)=SUM($C$71:Z71),0,Y76))</f>
        <v>0</v>
      </c>
      <c r="AA76" s="152">
        <f>IF(Z76=0,IF(AA71=0,0,AA71/($B71*12)),IF(SUM($C$76:Z76)=SUM($C$71:AA71),0,Z76))</f>
        <v>0</v>
      </c>
      <c r="AB76" s="152">
        <f>IF(AA76=0,IF(AB71=0,0,AB71/($B71*12)),IF(SUM($C$76:AA76)=SUM($C$71:AB71),0,AA76))</f>
        <v>0</v>
      </c>
      <c r="AC76" s="152">
        <f>IF(AB76=0,IF(AC71=0,0,AC71/($B71*12)),IF(SUM($C$76:AB76)=SUM($C$71:AC71),0,AB76))</f>
        <v>0</v>
      </c>
      <c r="AD76" s="152">
        <f>IF(AC76=0,IF(AD71=0,0,AD71/($B71*12)),IF(SUM($C$76:AC76)=SUM($C$71:AD71),0,AC76))</f>
        <v>0</v>
      </c>
      <c r="AE76" s="152">
        <f>IF(AD76=0,IF(AE71=0,0,AE71/($B71*12)),IF(SUM($C$76:AD76)=SUM($C$71:AE71),0,AD76))</f>
        <v>0</v>
      </c>
      <c r="AF76" s="152">
        <f>IF(AE76=0,IF(AF71=0,0,AF71/($B71*12)),IF(SUM($C$76:AE76)=SUM($C$71:AF71),0,AE76))</f>
        <v>0</v>
      </c>
      <c r="AG76" s="152">
        <f>IF(AF76=0,IF(AG71=0,0,AG71/($B71*12)),IF(SUM($C$76:AF76)=SUM($C$71:AG71),0,AF76))</f>
        <v>0</v>
      </c>
      <c r="AH76" s="152">
        <f>IF(AG76=0,IF(AH71=0,0,AH71/($B71*12)),IF(SUM($C$76:AG76)=SUM($C$71:AH71),0,AG76))</f>
        <v>0</v>
      </c>
      <c r="AI76" s="152">
        <f>IF(AH76=0,IF(AI71=0,0,AI71/($B71*12)),IF(SUM($C$76:AH76)=SUM($C$71:AI71),0,AH76))</f>
        <v>0</v>
      </c>
      <c r="AJ76" s="152">
        <f>IF(AI76=0,IF(AJ71=0,0,AJ71/($B71*12)),IF(SUM($C$76:AI76)=SUM($C$71:AJ71),0,AI76))</f>
        <v>0</v>
      </c>
      <c r="AK76" s="152">
        <f>IF(AJ76=0,IF(AK71=0,0,AK71/($B71*12)),IF(SUM($C$76:AJ76)=SUM($C$71:AK71),0,AJ76))</f>
        <v>0</v>
      </c>
      <c r="AL76" s="152">
        <f>IF(AK76=0,IF(AL71=0,0,AL71/($B71*12)),IF(SUM($C$76:AK76)=SUM($C$71:AL71),0,AK76))</f>
        <v>0</v>
      </c>
    </row>
    <row r="77" spans="1:38" s="144" customFormat="1" hidden="1" outlineLevel="1" x14ac:dyDescent="0.25">
      <c r="A77" s="150" t="str">
        <f>A72</f>
        <v>Финансирование первоначальных затрат и формирование текущих активов</v>
      </c>
      <c r="B77" s="151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</row>
    <row r="78" spans="1:38" collapsed="1" x14ac:dyDescent="0.25"/>
    <row r="80" spans="1:38" x14ac:dyDescent="0.25">
      <c r="A80" s="136" t="s">
        <v>144</v>
      </c>
    </row>
    <row r="81" spans="1:18" x14ac:dyDescent="0.25">
      <c r="A81" s="203" t="s">
        <v>126</v>
      </c>
      <c r="B81" s="202" t="s">
        <v>101</v>
      </c>
      <c r="C81" s="202"/>
      <c r="D81" s="202"/>
      <c r="E81" s="202"/>
      <c r="F81" s="202" t="s">
        <v>103</v>
      </c>
      <c r="G81" s="202"/>
      <c r="H81" s="202"/>
      <c r="I81" s="202"/>
      <c r="J81" s="202" t="s">
        <v>104</v>
      </c>
      <c r="K81" s="202"/>
      <c r="L81" s="202"/>
      <c r="M81" s="202"/>
    </row>
    <row r="82" spans="1:18" x14ac:dyDescent="0.25">
      <c r="A82" s="203"/>
      <c r="B82" s="153" t="s">
        <v>97</v>
      </c>
      <c r="C82" s="153" t="s">
        <v>98</v>
      </c>
      <c r="D82" s="153" t="s">
        <v>99</v>
      </c>
      <c r="E82" s="153" t="s">
        <v>100</v>
      </c>
      <c r="F82" s="153" t="s">
        <v>97</v>
      </c>
      <c r="G82" s="153" t="s">
        <v>98</v>
      </c>
      <c r="H82" s="153" t="s">
        <v>99</v>
      </c>
      <c r="I82" s="153" t="s">
        <v>100</v>
      </c>
      <c r="J82" s="153" t="s">
        <v>97</v>
      </c>
      <c r="K82" s="153" t="s">
        <v>98</v>
      </c>
      <c r="L82" s="153" t="s">
        <v>99</v>
      </c>
      <c r="M82" s="153" t="s">
        <v>100</v>
      </c>
    </row>
    <row r="83" spans="1:18" x14ac:dyDescent="0.25">
      <c r="A83" s="133" t="s">
        <v>142</v>
      </c>
      <c r="B83" s="154" t="str">
        <f>IF('Итоговые расчеты модели'!B75&lt;0,"Кассовый разрыв","ОК")</f>
        <v>Кассовый разрыв</v>
      </c>
      <c r="C83" s="154" t="str">
        <f>IF('Итоговые расчеты модели'!C75&lt;0,"Кассовый разрыв","ОК")</f>
        <v>ОК</v>
      </c>
      <c r="D83" s="154" t="str">
        <f>IF('Итоговые расчеты модели'!D75&lt;0,"Кассовый разрыв","ОК")</f>
        <v>ОК</v>
      </c>
      <c r="E83" s="154" t="str">
        <f>IF('Итоговые расчеты модели'!E75&lt;0,"Кассовый разрыв","ОК")</f>
        <v>ОК</v>
      </c>
      <c r="F83" s="154" t="str">
        <f>IF('Итоговые расчеты модели'!F75&lt;0,"Кассовый разрыв","ОК")</f>
        <v>ОК</v>
      </c>
      <c r="G83" s="154" t="str">
        <f>IF('Итоговые расчеты модели'!G75&lt;0,"Кассовый разрыв","ОК")</f>
        <v>ОК</v>
      </c>
      <c r="H83" s="154" t="str">
        <f>IF('Итоговые расчеты модели'!H75&lt;0,"Кассовый разрыв","ОК")</f>
        <v>ОК</v>
      </c>
      <c r="I83" s="154" t="str">
        <f>IF('Итоговые расчеты модели'!I75&lt;0,"Кассовый разрыв","ОК")</f>
        <v>ОК</v>
      </c>
      <c r="J83" s="154" t="str">
        <f>IF('Итоговые расчеты модели'!J75&lt;0,"Кассовый разрыв","ОК")</f>
        <v>ОК</v>
      </c>
      <c r="K83" s="154" t="str">
        <f>IF('Итоговые расчеты модели'!K75&lt;0,"Кассовый разрыв","ОК")</f>
        <v>ОК</v>
      </c>
      <c r="L83" s="154" t="str">
        <f>IF('Итоговые расчеты модели'!L75&lt;0,"Кассовый разрыв","ОК")</f>
        <v>ОК</v>
      </c>
      <c r="M83" s="154" t="str">
        <f>IF('Итоговые расчеты модели'!M75&lt;0,"Кассовый разрыв","ОК")</f>
        <v>ОК</v>
      </c>
    </row>
    <row r="84" spans="1:18" ht="31.5" x14ac:dyDescent="0.25">
      <c r="A84" s="133" t="s">
        <v>147</v>
      </c>
      <c r="B84" s="155">
        <f>'Итоговые расчеты модели'!B75</f>
        <v>-2.72199999999998</v>
      </c>
      <c r="C84" s="155">
        <f>'Итоговые расчеты модели'!C75</f>
        <v>155.00400000000002</v>
      </c>
      <c r="D84" s="155">
        <f>'Итоговые расчеты модели'!D75</f>
        <v>238.99199999999985</v>
      </c>
      <c r="E84" s="155">
        <f>'Итоговые расчеты модели'!E75</f>
        <v>676.22999999999968</v>
      </c>
      <c r="F84" s="155">
        <f>'Итоговые расчеты модели'!F75</f>
        <v>1033.5935199999994</v>
      </c>
      <c r="G84" s="155">
        <f>'Итоговые расчеты модели'!G75</f>
        <v>1740.9570399999993</v>
      </c>
      <c r="H84" s="155">
        <f>'Итоговые расчеты модели'!H75</f>
        <v>2697.9505599999993</v>
      </c>
      <c r="I84" s="155">
        <f>'Итоговые расчеты модели'!I75</f>
        <v>3779.7590799999989</v>
      </c>
      <c r="J84" s="155">
        <f>'Итоговые расчеты модели'!J75</f>
        <v>4937.640440799998</v>
      </c>
      <c r="K84" s="155">
        <f>'Итоговые расчеты модели'!K75</f>
        <v>6095.5218015999981</v>
      </c>
      <c r="L84" s="155">
        <f>'Итоговые расчеты модели'!L75</f>
        <v>7650.3148623999978</v>
      </c>
      <c r="M84" s="155">
        <f>'Итоговые расчеты модели'!M75</f>
        <v>9205.1079231999975</v>
      </c>
    </row>
    <row r="85" spans="1:18" ht="31.5" x14ac:dyDescent="0.25">
      <c r="A85" s="133" t="s">
        <v>148</v>
      </c>
      <c r="B85" s="176">
        <v>350000</v>
      </c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</row>
    <row r="86" spans="1:18" ht="31.5" x14ac:dyDescent="0.25">
      <c r="A86" s="133" t="s">
        <v>149</v>
      </c>
      <c r="B86" s="176"/>
      <c r="C86" s="176"/>
      <c r="D86" s="176"/>
      <c r="E86" s="176"/>
      <c r="F86" s="176">
        <v>350000</v>
      </c>
      <c r="G86" s="176"/>
      <c r="H86" s="176"/>
      <c r="I86" s="176"/>
      <c r="J86" s="176"/>
      <c r="K86" s="176"/>
      <c r="L86" s="176"/>
      <c r="M86" s="176"/>
    </row>
    <row r="90" spans="1:18" hidden="1" outlineLevel="1" x14ac:dyDescent="0.25"/>
    <row r="91" spans="1:18" hidden="1" outlineLevel="1" x14ac:dyDescent="0.25"/>
    <row r="92" spans="1:18" ht="31.5" hidden="1" outlineLevel="1" x14ac:dyDescent="0.25">
      <c r="A92" s="156" t="s">
        <v>42</v>
      </c>
      <c r="E92" s="157" t="s">
        <v>262</v>
      </c>
    </row>
    <row r="93" spans="1:18" hidden="1" outlineLevel="1" x14ac:dyDescent="0.25">
      <c r="A93" s="138" t="s">
        <v>39</v>
      </c>
      <c r="E93" s="158" t="s">
        <v>186</v>
      </c>
      <c r="F93" s="159"/>
      <c r="G93" s="159"/>
      <c r="H93" s="159"/>
      <c r="I93" s="159"/>
    </row>
    <row r="94" spans="1:18" hidden="1" outlineLevel="1" x14ac:dyDescent="0.25">
      <c r="A94" s="138" t="s">
        <v>40</v>
      </c>
      <c r="E94" s="158" t="s">
        <v>187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</row>
    <row r="95" spans="1:18" hidden="1" outlineLevel="1" x14ac:dyDescent="0.25">
      <c r="A95" s="138" t="s">
        <v>41</v>
      </c>
      <c r="E95" s="158" t="s">
        <v>188</v>
      </c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</row>
    <row r="96" spans="1:18" hidden="1" outlineLevel="1" x14ac:dyDescent="0.25">
      <c r="A96" s="138" t="s">
        <v>313</v>
      </c>
      <c r="E96" s="158" t="s">
        <v>189</v>
      </c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</row>
    <row r="97" spans="1:18" hidden="1" outlineLevel="1" x14ac:dyDescent="0.25">
      <c r="A97" s="160" t="s">
        <v>48</v>
      </c>
      <c r="E97" s="158" t="s">
        <v>190</v>
      </c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</row>
    <row r="98" spans="1:18" hidden="1" outlineLevel="1" x14ac:dyDescent="0.25">
      <c r="A98" s="138" t="s">
        <v>51</v>
      </c>
      <c r="B98" s="161">
        <v>2</v>
      </c>
      <c r="E98" s="158" t="s">
        <v>191</v>
      </c>
    </row>
    <row r="99" spans="1:18" hidden="1" outlineLevel="1" x14ac:dyDescent="0.25">
      <c r="A99" s="138" t="s">
        <v>49</v>
      </c>
      <c r="B99" s="161">
        <v>2</v>
      </c>
      <c r="E99" s="158" t="s">
        <v>192</v>
      </c>
    </row>
    <row r="100" spans="1:18" hidden="1" outlineLevel="1" x14ac:dyDescent="0.25">
      <c r="A100" s="138" t="s">
        <v>50</v>
      </c>
      <c r="B100" s="161">
        <v>3.5</v>
      </c>
      <c r="E100" s="158" t="s">
        <v>193</v>
      </c>
    </row>
    <row r="101" spans="1:18" hidden="1" outlineLevel="1" x14ac:dyDescent="0.25">
      <c r="A101" s="138" t="s">
        <v>52</v>
      </c>
      <c r="B101" s="161">
        <v>5</v>
      </c>
      <c r="E101" s="158" t="s">
        <v>194</v>
      </c>
    </row>
    <row r="102" spans="1:18" hidden="1" outlineLevel="1" x14ac:dyDescent="0.25">
      <c r="A102" s="138" t="s">
        <v>53</v>
      </c>
      <c r="B102" s="161">
        <v>10</v>
      </c>
      <c r="E102" s="158" t="s">
        <v>195</v>
      </c>
    </row>
    <row r="103" spans="1:18" hidden="1" outlineLevel="1" x14ac:dyDescent="0.25">
      <c r="E103" s="158" t="s">
        <v>196</v>
      </c>
    </row>
    <row r="104" spans="1:18" hidden="1" outlineLevel="1" x14ac:dyDescent="0.25">
      <c r="E104" s="158" t="s">
        <v>197</v>
      </c>
    </row>
    <row r="105" spans="1:18" hidden="1" outlineLevel="1" x14ac:dyDescent="0.25">
      <c r="A105" s="214" t="s">
        <v>72</v>
      </c>
      <c r="B105" s="215"/>
    </row>
    <row r="106" spans="1:18" hidden="1" outlineLevel="1" x14ac:dyDescent="0.25">
      <c r="A106" s="138" t="s">
        <v>73</v>
      </c>
      <c r="B106" s="162">
        <v>0.22</v>
      </c>
    </row>
    <row r="107" spans="1:18" hidden="1" outlineLevel="1" x14ac:dyDescent="0.25">
      <c r="A107" s="138" t="s">
        <v>74</v>
      </c>
      <c r="B107" s="162">
        <v>5.0999999999999997E-2</v>
      </c>
    </row>
    <row r="108" spans="1:18" hidden="1" outlineLevel="1" x14ac:dyDescent="0.25">
      <c r="A108" s="138" t="s">
        <v>75</v>
      </c>
      <c r="B108" s="162">
        <v>2.9000000000000001E-2</v>
      </c>
    </row>
    <row r="109" spans="1:18" hidden="1" outlineLevel="1" x14ac:dyDescent="0.25">
      <c r="A109" s="138" t="s">
        <v>76</v>
      </c>
      <c r="B109" s="162">
        <v>2E-3</v>
      </c>
    </row>
    <row r="110" spans="1:18" hidden="1" outlineLevel="1" x14ac:dyDescent="0.25"/>
    <row r="111" spans="1:18" hidden="1" outlineLevel="1" x14ac:dyDescent="0.25"/>
    <row r="112" spans="1:18" hidden="1" outlineLevel="1" x14ac:dyDescent="0.25">
      <c r="A112" s="160" t="s">
        <v>78</v>
      </c>
      <c r="B112" s="161">
        <v>1</v>
      </c>
    </row>
    <row r="113" spans="1:6" hidden="1" outlineLevel="1" x14ac:dyDescent="0.25">
      <c r="A113" s="163">
        <v>2</v>
      </c>
      <c r="B113" s="161">
        <v>2</v>
      </c>
    </row>
    <row r="114" spans="1:6" hidden="1" outlineLevel="1" x14ac:dyDescent="0.25">
      <c r="A114" s="163">
        <v>3</v>
      </c>
      <c r="B114" s="161">
        <v>3</v>
      </c>
    </row>
    <row r="115" spans="1:6" hidden="1" outlineLevel="1" x14ac:dyDescent="0.25"/>
    <row r="116" spans="1:6" hidden="1" outlineLevel="1" x14ac:dyDescent="0.25">
      <c r="A116" s="216" t="s">
        <v>0</v>
      </c>
      <c r="B116" s="216"/>
      <c r="C116" s="164" t="s">
        <v>1</v>
      </c>
      <c r="D116" s="165">
        <v>974</v>
      </c>
    </row>
    <row r="117" spans="1:6" hidden="1" outlineLevel="1" x14ac:dyDescent="0.25">
      <c r="A117" s="216" t="s">
        <v>2</v>
      </c>
      <c r="B117" s="216"/>
      <c r="C117" s="164" t="s">
        <v>3</v>
      </c>
      <c r="D117" s="165">
        <v>88.391499999999994</v>
      </c>
    </row>
    <row r="118" spans="1:6" hidden="1" outlineLevel="1" x14ac:dyDescent="0.25">
      <c r="A118" s="216" t="s">
        <v>4</v>
      </c>
      <c r="B118" s="216"/>
      <c r="C118" s="164" t="s">
        <v>5</v>
      </c>
      <c r="D118" s="165">
        <v>1.1000000000000001</v>
      </c>
    </row>
    <row r="119" spans="1:6" hidden="1" outlineLevel="1" x14ac:dyDescent="0.25">
      <c r="A119" s="216" t="s">
        <v>6</v>
      </c>
      <c r="B119" s="216"/>
      <c r="C119" s="164" t="s">
        <v>7</v>
      </c>
      <c r="D119" s="166">
        <v>0.9</v>
      </c>
    </row>
    <row r="120" spans="1:6" hidden="1" outlineLevel="1" x14ac:dyDescent="0.25">
      <c r="A120" s="216" t="s">
        <v>8</v>
      </c>
      <c r="B120" s="216"/>
      <c r="C120" s="164" t="s">
        <v>9</v>
      </c>
      <c r="D120" s="165">
        <v>1</v>
      </c>
    </row>
    <row r="121" spans="1:6" hidden="1" outlineLevel="1" x14ac:dyDescent="0.25">
      <c r="A121" s="216" t="s">
        <v>10</v>
      </c>
      <c r="B121" s="216"/>
      <c r="C121" s="164" t="s">
        <v>11</v>
      </c>
      <c r="D121" s="165">
        <v>1</v>
      </c>
    </row>
    <row r="122" spans="1:6" hidden="1" outlineLevel="1" x14ac:dyDescent="0.25">
      <c r="A122" s="216" t="s">
        <v>12</v>
      </c>
      <c r="B122" s="216"/>
      <c r="C122" s="164" t="s">
        <v>13</v>
      </c>
      <c r="D122" s="165">
        <v>1.05</v>
      </c>
    </row>
    <row r="123" spans="1:6" hidden="1" outlineLevel="1" x14ac:dyDescent="0.25">
      <c r="A123" s="216" t="s">
        <v>14</v>
      </c>
      <c r="B123" s="216"/>
      <c r="C123" s="164" t="s">
        <v>15</v>
      </c>
      <c r="D123" s="165">
        <v>1</v>
      </c>
    </row>
    <row r="124" spans="1:6" hidden="1" outlineLevel="1" x14ac:dyDescent="0.25"/>
    <row r="125" spans="1:6" hidden="1" outlineLevel="1" x14ac:dyDescent="0.25"/>
    <row r="126" spans="1:6" hidden="1" outlineLevel="1" x14ac:dyDescent="0.25">
      <c r="A126" s="213" t="s">
        <v>81</v>
      </c>
      <c r="B126" s="213"/>
      <c r="C126" s="213"/>
      <c r="D126" s="213"/>
      <c r="E126" s="213"/>
      <c r="F126" s="213"/>
    </row>
    <row r="127" spans="1:6" ht="31.5" hidden="1" outlineLevel="1" x14ac:dyDescent="0.25">
      <c r="A127" s="167" t="s">
        <v>82</v>
      </c>
      <c r="B127" s="167" t="s">
        <v>83</v>
      </c>
      <c r="C127" s="167" t="s">
        <v>84</v>
      </c>
      <c r="D127" s="167" t="s">
        <v>85</v>
      </c>
      <c r="E127" s="167" t="s">
        <v>86</v>
      </c>
    </row>
    <row r="128" spans="1:6" hidden="1" outlineLevel="1" x14ac:dyDescent="0.25">
      <c r="A128" s="168">
        <v>1</v>
      </c>
      <c r="B128" s="169">
        <f>ROUND(IF(A128-1&lt;$B$26,0,D128-C128),2)</f>
        <v>0</v>
      </c>
      <c r="C128" s="169">
        <f>ROUND(B24*$B$27/12,2)</f>
        <v>0</v>
      </c>
      <c r="D128" s="169">
        <f>ROUND(IF(A128&gt;$B$25,0,IF(A128-1&lt;$B$26,C128,-PMT($B$27/12,$B$25-$B$26,$B$24))),2)</f>
        <v>0</v>
      </c>
      <c r="E128" s="169">
        <f>B24-B128</f>
        <v>0</v>
      </c>
    </row>
    <row r="129" spans="1:5" hidden="1" outlineLevel="1" x14ac:dyDescent="0.25">
      <c r="A129" s="168">
        <v>2</v>
      </c>
      <c r="B129" s="169">
        <f t="shared" ref="B129:B163" si="1">ROUND(IF(A129-1&lt;$B$26,0,D129-C129),2)</f>
        <v>0</v>
      </c>
      <c r="C129" s="169">
        <f>ROUND(E128*$B$27/12,2)</f>
        <v>0</v>
      </c>
      <c r="D129" s="169">
        <f>ROUND(IF(A129&gt;$B$25,0,IF(A129-1&lt;$B$26,C129,-PMT($B$27/12,$B$25-$B$26,$B$24))),2)</f>
        <v>0</v>
      </c>
      <c r="E129" s="169">
        <f>E128-B129</f>
        <v>0</v>
      </c>
    </row>
    <row r="130" spans="1:5" hidden="1" outlineLevel="1" x14ac:dyDescent="0.25">
      <c r="A130" s="168">
        <v>3</v>
      </c>
      <c r="B130" s="169">
        <f t="shared" si="1"/>
        <v>0</v>
      </c>
      <c r="C130" s="169">
        <f>ROUND(E129*$B$27/12,2)</f>
        <v>0</v>
      </c>
      <c r="D130" s="169">
        <f t="shared" ref="D130:D163" si="2">ROUND(IF(A130&gt;$B$25,0,IF(A130-1&lt;$B$26,C130,-PMT($B$27/12,$B$25-$B$26,$B$24))),2)</f>
        <v>0</v>
      </c>
      <c r="E130" s="169">
        <f t="shared" ref="E130:E137" si="3">E129-B130</f>
        <v>0</v>
      </c>
    </row>
    <row r="131" spans="1:5" hidden="1" outlineLevel="1" x14ac:dyDescent="0.25">
      <c r="A131" s="168">
        <v>4</v>
      </c>
      <c r="B131" s="169">
        <f>ROUND(IF(A131-1&lt;$B$26,0,D131-C131),2)</f>
        <v>0</v>
      </c>
      <c r="C131" s="169">
        <f>ROUND(E130*$B$27/12,2)</f>
        <v>0</v>
      </c>
      <c r="D131" s="169">
        <f t="shared" si="2"/>
        <v>0</v>
      </c>
      <c r="E131" s="169">
        <f t="shared" si="3"/>
        <v>0</v>
      </c>
    </row>
    <row r="132" spans="1:5" hidden="1" outlineLevel="1" x14ac:dyDescent="0.25">
      <c r="A132" s="168">
        <v>5</v>
      </c>
      <c r="B132" s="169">
        <f t="shared" si="1"/>
        <v>0</v>
      </c>
      <c r="C132" s="169">
        <f>ROUND(E131*$B$27/12,2)</f>
        <v>0</v>
      </c>
      <c r="D132" s="169">
        <f t="shared" si="2"/>
        <v>0</v>
      </c>
      <c r="E132" s="169">
        <f t="shared" si="3"/>
        <v>0</v>
      </c>
    </row>
    <row r="133" spans="1:5" hidden="1" outlineLevel="1" x14ac:dyDescent="0.25">
      <c r="A133" s="168">
        <v>6</v>
      </c>
      <c r="B133" s="169">
        <f t="shared" si="1"/>
        <v>0</v>
      </c>
      <c r="C133" s="169">
        <f t="shared" ref="C133:C163" si="4">ROUND(E132*$B$27/12,2)</f>
        <v>0</v>
      </c>
      <c r="D133" s="169">
        <f t="shared" si="2"/>
        <v>0</v>
      </c>
      <c r="E133" s="169">
        <f t="shared" si="3"/>
        <v>0</v>
      </c>
    </row>
    <row r="134" spans="1:5" hidden="1" outlineLevel="1" x14ac:dyDescent="0.25">
      <c r="A134" s="168">
        <v>7</v>
      </c>
      <c r="B134" s="169">
        <f t="shared" si="1"/>
        <v>0</v>
      </c>
      <c r="C134" s="169">
        <f t="shared" si="4"/>
        <v>0</v>
      </c>
      <c r="D134" s="169">
        <f t="shared" si="2"/>
        <v>0</v>
      </c>
      <c r="E134" s="169">
        <f t="shared" si="3"/>
        <v>0</v>
      </c>
    </row>
    <row r="135" spans="1:5" hidden="1" outlineLevel="1" x14ac:dyDescent="0.25">
      <c r="A135" s="168">
        <v>8</v>
      </c>
      <c r="B135" s="169">
        <f t="shared" si="1"/>
        <v>0</v>
      </c>
      <c r="C135" s="169">
        <f>ROUND(E134*$B$27/12,2)</f>
        <v>0</v>
      </c>
      <c r="D135" s="169">
        <f t="shared" si="2"/>
        <v>0</v>
      </c>
      <c r="E135" s="169">
        <f t="shared" si="3"/>
        <v>0</v>
      </c>
    </row>
    <row r="136" spans="1:5" hidden="1" outlineLevel="1" x14ac:dyDescent="0.25">
      <c r="A136" s="168">
        <v>9</v>
      </c>
      <c r="B136" s="169">
        <f t="shared" si="1"/>
        <v>0</v>
      </c>
      <c r="C136" s="169">
        <f t="shared" si="4"/>
        <v>0</v>
      </c>
      <c r="D136" s="169">
        <f t="shared" si="2"/>
        <v>0</v>
      </c>
      <c r="E136" s="169">
        <f t="shared" si="3"/>
        <v>0</v>
      </c>
    </row>
    <row r="137" spans="1:5" hidden="1" outlineLevel="1" x14ac:dyDescent="0.25">
      <c r="A137" s="168">
        <v>10</v>
      </c>
      <c r="B137" s="169">
        <f t="shared" si="1"/>
        <v>0</v>
      </c>
      <c r="C137" s="169">
        <f t="shared" si="4"/>
        <v>0</v>
      </c>
      <c r="D137" s="169">
        <f t="shared" si="2"/>
        <v>0</v>
      </c>
      <c r="E137" s="169">
        <f t="shared" si="3"/>
        <v>0</v>
      </c>
    </row>
    <row r="138" spans="1:5" hidden="1" outlineLevel="1" x14ac:dyDescent="0.25">
      <c r="A138" s="168">
        <v>11</v>
      </c>
      <c r="B138" s="169">
        <f t="shared" si="1"/>
        <v>0</v>
      </c>
      <c r="C138" s="169">
        <f t="shared" si="4"/>
        <v>0</v>
      </c>
      <c r="D138" s="169">
        <f t="shared" si="2"/>
        <v>0</v>
      </c>
      <c r="E138" s="169">
        <f>E137-B138</f>
        <v>0</v>
      </c>
    </row>
    <row r="139" spans="1:5" hidden="1" outlineLevel="1" x14ac:dyDescent="0.25">
      <c r="A139" s="168">
        <v>12</v>
      </c>
      <c r="B139" s="169">
        <f t="shared" si="1"/>
        <v>0</v>
      </c>
      <c r="C139" s="169">
        <f t="shared" si="4"/>
        <v>0</v>
      </c>
      <c r="D139" s="169">
        <f t="shared" si="2"/>
        <v>0</v>
      </c>
      <c r="E139" s="169">
        <f>E138-B139</f>
        <v>0</v>
      </c>
    </row>
    <row r="140" spans="1:5" hidden="1" outlineLevel="1" x14ac:dyDescent="0.25">
      <c r="A140" s="168">
        <v>13</v>
      </c>
      <c r="B140" s="169">
        <f t="shared" si="1"/>
        <v>0</v>
      </c>
      <c r="C140" s="169">
        <f t="shared" si="4"/>
        <v>0</v>
      </c>
      <c r="D140" s="169">
        <f t="shared" si="2"/>
        <v>0</v>
      </c>
      <c r="E140" s="169">
        <f t="shared" ref="E140:E150" si="5">E139-B140</f>
        <v>0</v>
      </c>
    </row>
    <row r="141" spans="1:5" hidden="1" outlineLevel="1" x14ac:dyDescent="0.25">
      <c r="A141" s="168">
        <v>14</v>
      </c>
      <c r="B141" s="169">
        <f t="shared" si="1"/>
        <v>0</v>
      </c>
      <c r="C141" s="169">
        <f t="shared" si="4"/>
        <v>0</v>
      </c>
      <c r="D141" s="169">
        <f t="shared" si="2"/>
        <v>0</v>
      </c>
      <c r="E141" s="169">
        <f t="shared" si="5"/>
        <v>0</v>
      </c>
    </row>
    <row r="142" spans="1:5" hidden="1" outlineLevel="1" x14ac:dyDescent="0.25">
      <c r="A142" s="168">
        <v>15</v>
      </c>
      <c r="B142" s="169">
        <f t="shared" si="1"/>
        <v>0</v>
      </c>
      <c r="C142" s="169">
        <f t="shared" si="4"/>
        <v>0</v>
      </c>
      <c r="D142" s="169">
        <f t="shared" si="2"/>
        <v>0</v>
      </c>
      <c r="E142" s="169">
        <f t="shared" si="5"/>
        <v>0</v>
      </c>
    </row>
    <row r="143" spans="1:5" hidden="1" outlineLevel="1" x14ac:dyDescent="0.25">
      <c r="A143" s="168">
        <v>16</v>
      </c>
      <c r="B143" s="169">
        <f t="shared" si="1"/>
        <v>0</v>
      </c>
      <c r="C143" s="169">
        <f t="shared" si="4"/>
        <v>0</v>
      </c>
      <c r="D143" s="169">
        <f t="shared" si="2"/>
        <v>0</v>
      </c>
      <c r="E143" s="169">
        <f t="shared" si="5"/>
        <v>0</v>
      </c>
    </row>
    <row r="144" spans="1:5" hidden="1" outlineLevel="1" x14ac:dyDescent="0.25">
      <c r="A144" s="168">
        <v>17</v>
      </c>
      <c r="B144" s="169">
        <f t="shared" si="1"/>
        <v>0</v>
      </c>
      <c r="C144" s="169">
        <f t="shared" si="4"/>
        <v>0</v>
      </c>
      <c r="D144" s="169">
        <f t="shared" si="2"/>
        <v>0</v>
      </c>
      <c r="E144" s="169">
        <f t="shared" si="5"/>
        <v>0</v>
      </c>
    </row>
    <row r="145" spans="1:5" hidden="1" outlineLevel="1" x14ac:dyDescent="0.25">
      <c r="A145" s="168">
        <v>18</v>
      </c>
      <c r="B145" s="169">
        <f t="shared" si="1"/>
        <v>0</v>
      </c>
      <c r="C145" s="169">
        <f t="shared" si="4"/>
        <v>0</v>
      </c>
      <c r="D145" s="169">
        <f t="shared" si="2"/>
        <v>0</v>
      </c>
      <c r="E145" s="169">
        <f t="shared" si="5"/>
        <v>0</v>
      </c>
    </row>
    <row r="146" spans="1:5" hidden="1" outlineLevel="1" x14ac:dyDescent="0.25">
      <c r="A146" s="168">
        <v>19</v>
      </c>
      <c r="B146" s="169">
        <f t="shared" si="1"/>
        <v>0</v>
      </c>
      <c r="C146" s="169">
        <f t="shared" si="4"/>
        <v>0</v>
      </c>
      <c r="D146" s="169">
        <f t="shared" si="2"/>
        <v>0</v>
      </c>
      <c r="E146" s="169">
        <f t="shared" si="5"/>
        <v>0</v>
      </c>
    </row>
    <row r="147" spans="1:5" hidden="1" outlineLevel="1" x14ac:dyDescent="0.25">
      <c r="A147" s="168">
        <v>20</v>
      </c>
      <c r="B147" s="169">
        <f t="shared" si="1"/>
        <v>0</v>
      </c>
      <c r="C147" s="169">
        <f t="shared" si="4"/>
        <v>0</v>
      </c>
      <c r="D147" s="169">
        <f t="shared" si="2"/>
        <v>0</v>
      </c>
      <c r="E147" s="169">
        <f t="shared" si="5"/>
        <v>0</v>
      </c>
    </row>
    <row r="148" spans="1:5" hidden="1" outlineLevel="1" x14ac:dyDescent="0.25">
      <c r="A148" s="168">
        <v>21</v>
      </c>
      <c r="B148" s="169">
        <f t="shared" si="1"/>
        <v>0</v>
      </c>
      <c r="C148" s="169">
        <f t="shared" si="4"/>
        <v>0</v>
      </c>
      <c r="D148" s="169">
        <f t="shared" si="2"/>
        <v>0</v>
      </c>
      <c r="E148" s="169">
        <f t="shared" si="5"/>
        <v>0</v>
      </c>
    </row>
    <row r="149" spans="1:5" hidden="1" outlineLevel="1" x14ac:dyDescent="0.25">
      <c r="A149" s="168">
        <v>22</v>
      </c>
      <c r="B149" s="169">
        <f t="shared" si="1"/>
        <v>0</v>
      </c>
      <c r="C149" s="169">
        <f t="shared" si="4"/>
        <v>0</v>
      </c>
      <c r="D149" s="169">
        <f t="shared" si="2"/>
        <v>0</v>
      </c>
      <c r="E149" s="169">
        <f t="shared" si="5"/>
        <v>0</v>
      </c>
    </row>
    <row r="150" spans="1:5" hidden="1" outlineLevel="1" x14ac:dyDescent="0.25">
      <c r="A150" s="168">
        <v>23</v>
      </c>
      <c r="B150" s="169">
        <f t="shared" si="1"/>
        <v>0</v>
      </c>
      <c r="C150" s="169">
        <f t="shared" si="4"/>
        <v>0</v>
      </c>
      <c r="D150" s="169">
        <f t="shared" si="2"/>
        <v>0</v>
      </c>
      <c r="E150" s="169">
        <f t="shared" si="5"/>
        <v>0</v>
      </c>
    </row>
    <row r="151" spans="1:5" hidden="1" outlineLevel="1" x14ac:dyDescent="0.25">
      <c r="A151" s="168">
        <v>24</v>
      </c>
      <c r="B151" s="169">
        <f t="shared" si="1"/>
        <v>0</v>
      </c>
      <c r="C151" s="169">
        <f t="shared" si="4"/>
        <v>0</v>
      </c>
      <c r="D151" s="169">
        <f t="shared" si="2"/>
        <v>0</v>
      </c>
      <c r="E151" s="169">
        <f>E150-B151</f>
        <v>0</v>
      </c>
    </row>
    <row r="152" spans="1:5" hidden="1" outlineLevel="1" x14ac:dyDescent="0.25">
      <c r="A152" s="168">
        <v>25</v>
      </c>
      <c r="B152" s="169">
        <f t="shared" si="1"/>
        <v>0</v>
      </c>
      <c r="C152" s="169">
        <f t="shared" si="4"/>
        <v>0</v>
      </c>
      <c r="D152" s="169">
        <f t="shared" si="2"/>
        <v>0</v>
      </c>
      <c r="E152" s="169">
        <f t="shared" ref="E152:E162" si="6">E151-B152</f>
        <v>0</v>
      </c>
    </row>
    <row r="153" spans="1:5" hidden="1" outlineLevel="1" x14ac:dyDescent="0.25">
      <c r="A153" s="168">
        <v>26</v>
      </c>
      <c r="B153" s="169">
        <f t="shared" si="1"/>
        <v>0</v>
      </c>
      <c r="C153" s="169">
        <f t="shared" si="4"/>
        <v>0</v>
      </c>
      <c r="D153" s="169">
        <f t="shared" si="2"/>
        <v>0</v>
      </c>
      <c r="E153" s="169">
        <f t="shared" si="6"/>
        <v>0</v>
      </c>
    </row>
    <row r="154" spans="1:5" hidden="1" outlineLevel="1" x14ac:dyDescent="0.25">
      <c r="A154" s="168">
        <v>27</v>
      </c>
      <c r="B154" s="169">
        <f t="shared" si="1"/>
        <v>0</v>
      </c>
      <c r="C154" s="169">
        <f t="shared" si="4"/>
        <v>0</v>
      </c>
      <c r="D154" s="169">
        <f t="shared" si="2"/>
        <v>0</v>
      </c>
      <c r="E154" s="169">
        <f t="shared" si="6"/>
        <v>0</v>
      </c>
    </row>
    <row r="155" spans="1:5" hidden="1" outlineLevel="1" x14ac:dyDescent="0.25">
      <c r="A155" s="168">
        <v>28</v>
      </c>
      <c r="B155" s="169">
        <f t="shared" si="1"/>
        <v>0</v>
      </c>
      <c r="C155" s="169">
        <f t="shared" si="4"/>
        <v>0</v>
      </c>
      <c r="D155" s="169">
        <f t="shared" si="2"/>
        <v>0</v>
      </c>
      <c r="E155" s="169">
        <f t="shared" si="6"/>
        <v>0</v>
      </c>
    </row>
    <row r="156" spans="1:5" hidden="1" outlineLevel="1" x14ac:dyDescent="0.25">
      <c r="A156" s="168">
        <v>29</v>
      </c>
      <c r="B156" s="169">
        <f t="shared" si="1"/>
        <v>0</v>
      </c>
      <c r="C156" s="169">
        <f t="shared" si="4"/>
        <v>0</v>
      </c>
      <c r="D156" s="169">
        <f t="shared" si="2"/>
        <v>0</v>
      </c>
      <c r="E156" s="169">
        <f t="shared" si="6"/>
        <v>0</v>
      </c>
    </row>
    <row r="157" spans="1:5" hidden="1" outlineLevel="1" x14ac:dyDescent="0.25">
      <c r="A157" s="168">
        <v>30</v>
      </c>
      <c r="B157" s="169">
        <f t="shared" si="1"/>
        <v>0</v>
      </c>
      <c r="C157" s="169">
        <f t="shared" si="4"/>
        <v>0</v>
      </c>
      <c r="D157" s="169">
        <f t="shared" si="2"/>
        <v>0</v>
      </c>
      <c r="E157" s="169">
        <f t="shared" si="6"/>
        <v>0</v>
      </c>
    </row>
    <row r="158" spans="1:5" hidden="1" outlineLevel="1" x14ac:dyDescent="0.25">
      <c r="A158" s="168">
        <v>31</v>
      </c>
      <c r="B158" s="169">
        <f t="shared" si="1"/>
        <v>0</v>
      </c>
      <c r="C158" s="169">
        <f t="shared" si="4"/>
        <v>0</v>
      </c>
      <c r="D158" s="169">
        <f t="shared" si="2"/>
        <v>0</v>
      </c>
      <c r="E158" s="169">
        <f t="shared" si="6"/>
        <v>0</v>
      </c>
    </row>
    <row r="159" spans="1:5" hidden="1" outlineLevel="1" x14ac:dyDescent="0.25">
      <c r="A159" s="168">
        <v>32</v>
      </c>
      <c r="B159" s="169">
        <f t="shared" si="1"/>
        <v>0</v>
      </c>
      <c r="C159" s="169">
        <f t="shared" si="4"/>
        <v>0</v>
      </c>
      <c r="D159" s="169">
        <f t="shared" si="2"/>
        <v>0</v>
      </c>
      <c r="E159" s="169">
        <f t="shared" si="6"/>
        <v>0</v>
      </c>
    </row>
    <row r="160" spans="1:5" hidden="1" outlineLevel="1" x14ac:dyDescent="0.25">
      <c r="A160" s="168">
        <v>33</v>
      </c>
      <c r="B160" s="169">
        <f t="shared" si="1"/>
        <v>0</v>
      </c>
      <c r="C160" s="169">
        <f t="shared" si="4"/>
        <v>0</v>
      </c>
      <c r="D160" s="169">
        <f t="shared" si="2"/>
        <v>0</v>
      </c>
      <c r="E160" s="169">
        <f t="shared" si="6"/>
        <v>0</v>
      </c>
    </row>
    <row r="161" spans="1:5" hidden="1" outlineLevel="1" x14ac:dyDescent="0.25">
      <c r="A161" s="168">
        <v>34</v>
      </c>
      <c r="B161" s="169">
        <f t="shared" si="1"/>
        <v>0</v>
      </c>
      <c r="C161" s="169">
        <f t="shared" si="4"/>
        <v>0</v>
      </c>
      <c r="D161" s="169">
        <f t="shared" si="2"/>
        <v>0</v>
      </c>
      <c r="E161" s="169">
        <f t="shared" si="6"/>
        <v>0</v>
      </c>
    </row>
    <row r="162" spans="1:5" hidden="1" outlineLevel="1" x14ac:dyDescent="0.25">
      <c r="A162" s="168">
        <v>35</v>
      </c>
      <c r="B162" s="169">
        <f t="shared" si="1"/>
        <v>0</v>
      </c>
      <c r="C162" s="169">
        <f t="shared" si="4"/>
        <v>0</v>
      </c>
      <c r="D162" s="169">
        <f t="shared" si="2"/>
        <v>0</v>
      </c>
      <c r="E162" s="169">
        <f t="shared" si="6"/>
        <v>0</v>
      </c>
    </row>
    <row r="163" spans="1:5" hidden="1" outlineLevel="1" x14ac:dyDescent="0.25">
      <c r="A163" s="168">
        <v>36</v>
      </c>
      <c r="B163" s="169">
        <f t="shared" si="1"/>
        <v>0</v>
      </c>
      <c r="C163" s="169">
        <f t="shared" si="4"/>
        <v>0</v>
      </c>
      <c r="D163" s="169">
        <f t="shared" si="2"/>
        <v>0</v>
      </c>
      <c r="E163" s="169">
        <f>E162-B163</f>
        <v>0</v>
      </c>
    </row>
    <row r="164" spans="1:5" hidden="1" outlineLevel="1" x14ac:dyDescent="0.25">
      <c r="A164" s="170" t="s">
        <v>87</v>
      </c>
      <c r="B164" s="171">
        <f>SUM(B128:B163)</f>
        <v>0</v>
      </c>
      <c r="C164" s="171">
        <f t="shared" ref="C164:D164" si="7">SUM(C128:C163)</f>
        <v>0</v>
      </c>
      <c r="D164" s="171">
        <f t="shared" si="7"/>
        <v>0</v>
      </c>
      <c r="E164" s="172"/>
    </row>
    <row r="165" spans="1:5" hidden="1" outlineLevel="1" x14ac:dyDescent="0.25"/>
    <row r="166" spans="1:5" collapsed="1" x14ac:dyDescent="0.25"/>
    <row r="167" spans="1:5" hidden="1" outlineLevel="1" x14ac:dyDescent="0.25"/>
    <row r="168" spans="1:5" hidden="1" outlineLevel="1" x14ac:dyDescent="0.25">
      <c r="A168" s="173" t="s">
        <v>270</v>
      </c>
    </row>
    <row r="169" spans="1:5" hidden="1" outlineLevel="1" x14ac:dyDescent="0.25">
      <c r="A169" s="138" t="s">
        <v>272</v>
      </c>
    </row>
    <row r="170" spans="1:5" hidden="1" outlineLevel="1" x14ac:dyDescent="0.25">
      <c r="A170" s="138" t="s">
        <v>273</v>
      </c>
    </row>
    <row r="171" spans="1:5" hidden="1" outlineLevel="1" x14ac:dyDescent="0.25">
      <c r="A171" s="138" t="s">
        <v>274</v>
      </c>
    </row>
    <row r="172" spans="1:5" hidden="1" outlineLevel="1" x14ac:dyDescent="0.25">
      <c r="A172" s="138" t="s">
        <v>271</v>
      </c>
    </row>
    <row r="173" spans="1:5" hidden="1" outlineLevel="1" x14ac:dyDescent="0.25">
      <c r="A173" s="138" t="s">
        <v>275</v>
      </c>
    </row>
    <row r="174" spans="1:5" hidden="1" outlineLevel="1" x14ac:dyDescent="0.25">
      <c r="A174" s="138" t="s">
        <v>276</v>
      </c>
    </row>
    <row r="175" spans="1:5" hidden="1" outlineLevel="1" x14ac:dyDescent="0.25">
      <c r="A175" s="174" t="s">
        <v>277</v>
      </c>
    </row>
    <row r="176" spans="1:5" hidden="1" outlineLevel="1" x14ac:dyDescent="0.25">
      <c r="A176" s="174" t="s">
        <v>278</v>
      </c>
    </row>
    <row r="177" spans="1:4" hidden="1" outlineLevel="1" x14ac:dyDescent="0.25"/>
    <row r="178" spans="1:4" hidden="1" outlineLevel="1" x14ac:dyDescent="0.25"/>
    <row r="179" spans="1:4" hidden="1" outlineLevel="1" x14ac:dyDescent="0.25"/>
    <row r="180" spans="1:4" hidden="1" outlineLevel="1" x14ac:dyDescent="0.25"/>
    <row r="181" spans="1:4" hidden="1" outlineLevel="1" x14ac:dyDescent="0.25"/>
    <row r="182" spans="1:4" hidden="1" outlineLevel="1" x14ac:dyDescent="0.25"/>
    <row r="183" spans="1:4" collapsed="1" x14ac:dyDescent="0.25"/>
    <row r="187" spans="1:4" s="161" customFormat="1" hidden="1" outlineLevel="1" x14ac:dyDescent="0.25">
      <c r="A187" s="187" t="s">
        <v>282</v>
      </c>
      <c r="B187" s="187" t="s">
        <v>283</v>
      </c>
      <c r="C187" s="187" t="s">
        <v>284</v>
      </c>
      <c r="D187" s="187" t="s">
        <v>285</v>
      </c>
    </row>
    <row r="188" spans="1:4" hidden="1" outlineLevel="1" x14ac:dyDescent="0.25">
      <c r="A188" s="161">
        <v>308</v>
      </c>
      <c r="B188" s="188">
        <v>2</v>
      </c>
      <c r="C188" s="161">
        <v>13</v>
      </c>
      <c r="D188" s="161">
        <v>205.59</v>
      </c>
    </row>
    <row r="189" spans="1:4" hidden="1" outlineLevel="1" x14ac:dyDescent="0.25">
      <c r="A189" s="161">
        <v>309</v>
      </c>
      <c r="B189" s="188">
        <v>1</v>
      </c>
      <c r="C189" s="161">
        <v>20</v>
      </c>
      <c r="D189" s="161">
        <v>205.59</v>
      </c>
    </row>
    <row r="190" spans="1:4" hidden="1" outlineLevel="1" x14ac:dyDescent="0.25">
      <c r="A190" s="161">
        <v>305</v>
      </c>
      <c r="B190" s="188" t="s">
        <v>287</v>
      </c>
      <c r="C190" s="161">
        <v>51</v>
      </c>
      <c r="D190" s="161">
        <v>199.42</v>
      </c>
    </row>
    <row r="191" spans="1:4" hidden="1" outlineLevel="1" x14ac:dyDescent="0.25">
      <c r="A191" s="161">
        <v>307</v>
      </c>
      <c r="B191" s="188" t="s">
        <v>288</v>
      </c>
      <c r="C191" s="161">
        <v>13</v>
      </c>
      <c r="D191" s="161">
        <v>205.59</v>
      </c>
    </row>
    <row r="192" spans="1:4" hidden="1" outlineLevel="1" x14ac:dyDescent="0.25">
      <c r="A192" s="161">
        <v>201</v>
      </c>
      <c r="B192" s="188" t="s">
        <v>289</v>
      </c>
      <c r="C192" s="161">
        <v>57</v>
      </c>
      <c r="D192" s="161">
        <v>199.42</v>
      </c>
    </row>
    <row r="193" spans="1:4" hidden="1" outlineLevel="1" x14ac:dyDescent="0.25">
      <c r="A193" s="161">
        <v>105</v>
      </c>
      <c r="B193" s="188">
        <v>5</v>
      </c>
      <c r="C193" s="161">
        <v>57</v>
      </c>
      <c r="D193" s="161">
        <v>233.73</v>
      </c>
    </row>
    <row r="194" spans="1:4" hidden="1" outlineLevel="1" x14ac:dyDescent="0.25">
      <c r="A194" s="161">
        <v>304</v>
      </c>
      <c r="B194" s="188" t="s">
        <v>290</v>
      </c>
      <c r="C194" s="161">
        <v>51</v>
      </c>
      <c r="D194" s="161">
        <v>199.42</v>
      </c>
    </row>
    <row r="195" spans="1:4" hidden="1" outlineLevel="1" x14ac:dyDescent="0.25">
      <c r="A195" s="161">
        <v>316</v>
      </c>
      <c r="B195" s="188">
        <v>15</v>
      </c>
      <c r="C195" s="161">
        <v>35</v>
      </c>
      <c r="D195" s="161">
        <v>205.59</v>
      </c>
    </row>
    <row r="196" spans="1:4" hidden="1" outlineLevel="1" x14ac:dyDescent="0.25">
      <c r="A196" s="161">
        <v>320</v>
      </c>
      <c r="B196" s="188" t="s">
        <v>291</v>
      </c>
      <c r="C196" s="161">
        <v>53</v>
      </c>
      <c r="D196" s="161">
        <v>199.42</v>
      </c>
    </row>
    <row r="197" spans="1:4" hidden="1" outlineLevel="1" x14ac:dyDescent="0.25">
      <c r="A197" s="161">
        <v>324</v>
      </c>
      <c r="B197" s="188">
        <v>17</v>
      </c>
      <c r="C197" s="161">
        <v>19</v>
      </c>
      <c r="D197" s="161">
        <v>205.59</v>
      </c>
    </row>
    <row r="198" spans="1:4" hidden="1" outlineLevel="1" x14ac:dyDescent="0.25">
      <c r="A198" s="161">
        <v>323</v>
      </c>
      <c r="B198" s="188" t="s">
        <v>292</v>
      </c>
      <c r="C198" s="161">
        <v>13</v>
      </c>
      <c r="D198" s="161">
        <v>205.59</v>
      </c>
    </row>
    <row r="199" spans="1:4" hidden="1" outlineLevel="1" x14ac:dyDescent="0.25">
      <c r="A199" s="161">
        <v>321</v>
      </c>
      <c r="B199" s="188" t="s">
        <v>293</v>
      </c>
      <c r="C199" s="161">
        <v>18</v>
      </c>
      <c r="D199" s="161">
        <v>205.59</v>
      </c>
    </row>
    <row r="200" spans="1:4" hidden="1" outlineLevel="1" x14ac:dyDescent="0.25">
      <c r="A200" s="161">
        <v>317</v>
      </c>
      <c r="B200" s="188" t="s">
        <v>294</v>
      </c>
      <c r="C200" s="161">
        <v>54</v>
      </c>
      <c r="D200" s="161">
        <v>199.42</v>
      </c>
    </row>
    <row r="201" spans="1:4" hidden="1" outlineLevel="1" x14ac:dyDescent="0.25">
      <c r="A201" s="161">
        <v>313</v>
      </c>
      <c r="B201" s="188">
        <v>17</v>
      </c>
      <c r="C201" s="161">
        <v>19</v>
      </c>
      <c r="D201" s="161">
        <v>205.59</v>
      </c>
    </row>
    <row r="202" spans="1:4" hidden="1" outlineLevel="1" x14ac:dyDescent="0.25">
      <c r="A202" s="161">
        <v>224</v>
      </c>
      <c r="B202" s="188" t="s">
        <v>295</v>
      </c>
      <c r="C202" s="161">
        <v>57</v>
      </c>
      <c r="D202" s="161">
        <v>199.42</v>
      </c>
    </row>
    <row r="203" spans="1:4" hidden="1" outlineLevel="1" x14ac:dyDescent="0.25">
      <c r="A203" s="161">
        <v>326</v>
      </c>
      <c r="B203" s="188" t="s">
        <v>296</v>
      </c>
      <c r="C203" s="161">
        <v>19</v>
      </c>
      <c r="D203" s="161">
        <v>205.59</v>
      </c>
    </row>
    <row r="204" spans="1:4" hidden="1" outlineLevel="1" x14ac:dyDescent="0.25">
      <c r="A204" s="161">
        <v>325</v>
      </c>
      <c r="B204" s="188" t="s">
        <v>297</v>
      </c>
      <c r="C204" s="161">
        <v>19</v>
      </c>
      <c r="D204" s="161">
        <v>205.59</v>
      </c>
    </row>
    <row r="205" spans="1:4" hidden="1" outlineLevel="1" x14ac:dyDescent="0.25">
      <c r="A205" s="161">
        <v>116</v>
      </c>
      <c r="B205" s="188" t="s">
        <v>293</v>
      </c>
      <c r="C205" s="161">
        <v>115</v>
      </c>
      <c r="D205" s="161">
        <v>216.86</v>
      </c>
    </row>
    <row r="206" spans="1:4" hidden="1" outlineLevel="1" x14ac:dyDescent="0.25">
      <c r="A206" s="161">
        <v>121</v>
      </c>
      <c r="B206" s="188" t="s">
        <v>298</v>
      </c>
      <c r="C206" s="161">
        <v>42</v>
      </c>
      <c r="D206" s="161">
        <v>240.96</v>
      </c>
    </row>
    <row r="207" spans="1:4" hidden="1" outlineLevel="1" x14ac:dyDescent="0.25">
      <c r="A207" s="161" t="s">
        <v>286</v>
      </c>
      <c r="B207" s="188" t="s">
        <v>299</v>
      </c>
      <c r="C207" s="161">
        <v>135</v>
      </c>
      <c r="D207" s="161">
        <v>216.86</v>
      </c>
    </row>
    <row r="208" spans="1:4" hidden="1" outlineLevel="1" x14ac:dyDescent="0.25">
      <c r="A208" s="161">
        <v>120</v>
      </c>
      <c r="B208" s="188" t="s">
        <v>300</v>
      </c>
      <c r="C208" s="161">
        <v>77</v>
      </c>
      <c r="D208" s="161">
        <v>233.73</v>
      </c>
    </row>
    <row r="209" collapsed="1" x14ac:dyDescent="0.25"/>
  </sheetData>
  <sheetProtection algorithmName="SHA-512" hashValue="bmdX4dAObDw8T/5lpOQckOJqyrvkJvpsxXCPUhqoSRebiV+U3CR/KBGG1rQkNeOh8uBiZdojKTwfsCCvyvpAlg==" saltValue="PoKjKfLXOynf1zvkbDRwBA==" spinCount="100000" sheet="1" formatCells="0" formatColumns="0" formatRows="0" insertColumns="0" insertRows="0" insertHyperlinks="0" deleteColumns="0" deleteRows="0" sort="0" autoFilter="0" pivotTables="0"/>
  <mergeCells count="43">
    <mergeCell ref="A58:B58"/>
    <mergeCell ref="A57:B57"/>
    <mergeCell ref="B67:B68"/>
    <mergeCell ref="A126:F126"/>
    <mergeCell ref="A105:B105"/>
    <mergeCell ref="A123:B123"/>
    <mergeCell ref="A122:B122"/>
    <mergeCell ref="A121:B121"/>
    <mergeCell ref="A120:B120"/>
    <mergeCell ref="A119:B119"/>
    <mergeCell ref="A118:B118"/>
    <mergeCell ref="A117:B117"/>
    <mergeCell ref="A116:B116"/>
    <mergeCell ref="B81:E81"/>
    <mergeCell ref="F81:I81"/>
    <mergeCell ref="A72:B72"/>
    <mergeCell ref="O33:Z33"/>
    <mergeCell ref="AA33:AL33"/>
    <mergeCell ref="C67:N67"/>
    <mergeCell ref="O67:Z67"/>
    <mergeCell ref="AA67:AL67"/>
    <mergeCell ref="C44:N44"/>
    <mergeCell ref="O44:Z44"/>
    <mergeCell ref="AA44:AL44"/>
    <mergeCell ref="C55:N55"/>
    <mergeCell ref="O55:Z55"/>
    <mergeCell ref="AA55:AL55"/>
    <mergeCell ref="A3:B3"/>
    <mergeCell ref="J81:M81"/>
    <mergeCell ref="A81:A82"/>
    <mergeCell ref="A33:A34"/>
    <mergeCell ref="B44:B45"/>
    <mergeCell ref="A44:A45"/>
    <mergeCell ref="A55:B56"/>
    <mergeCell ref="A67:A68"/>
    <mergeCell ref="C33:N33"/>
    <mergeCell ref="B33:B34"/>
    <mergeCell ref="A64:B64"/>
    <mergeCell ref="A63:B63"/>
    <mergeCell ref="A62:B62"/>
    <mergeCell ref="A61:B61"/>
    <mergeCell ref="A60:B60"/>
    <mergeCell ref="A59:B59"/>
  </mergeCells>
  <phoneticPr fontId="7" type="noConversion"/>
  <dataValidations count="2">
    <dataValidation type="list" allowBlank="1" showInputMessage="1" showErrorMessage="1" sqref="B8">
      <formula1>$A$93:$A$96</formula1>
    </dataValidation>
    <dataValidation type="list" allowBlank="1" showInputMessage="1" showErrorMessage="1" sqref="B9:B10">
      <formula1>$A$98:$A$102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Q310"/>
  <sheetViews>
    <sheetView showGridLines="0" topLeftCell="A22" zoomScale="85" zoomScaleNormal="85" workbookViewId="0">
      <selection activeCell="B39" sqref="B39"/>
    </sheetView>
  </sheetViews>
  <sheetFormatPr defaultRowHeight="15" outlineLevelRow="1" x14ac:dyDescent="0.25"/>
  <cols>
    <col min="1" max="1" width="35.5703125" style="34" customWidth="1"/>
    <col min="2" max="2" width="15.5703125" style="34" customWidth="1"/>
    <col min="3" max="5" width="12.85546875" style="34" bestFit="1" customWidth="1"/>
    <col min="6" max="6" width="14" style="34" bestFit="1" customWidth="1"/>
    <col min="7" max="10" width="12.85546875" style="34" bestFit="1" customWidth="1"/>
    <col min="11" max="11" width="14" style="34" bestFit="1" customWidth="1"/>
    <col min="12" max="15" width="12.85546875" style="34" bestFit="1" customWidth="1"/>
    <col min="16" max="16" width="15.140625" style="34" customWidth="1"/>
    <col min="17" max="17" width="13.42578125" style="34" customWidth="1"/>
    <col min="18" max="16384" width="9.140625" style="34"/>
  </cols>
  <sheetData>
    <row r="2" spans="1:17" x14ac:dyDescent="0.25">
      <c r="A2" s="33" t="s">
        <v>216</v>
      </c>
    </row>
    <row r="3" spans="1:17" x14ac:dyDescent="0.25">
      <c r="A3" s="230" t="s">
        <v>129</v>
      </c>
      <c r="B3" s="227" t="s">
        <v>101</v>
      </c>
      <c r="C3" s="227"/>
      <c r="D3" s="227"/>
      <c r="E3" s="227"/>
      <c r="F3" s="230" t="s">
        <v>102</v>
      </c>
      <c r="G3" s="227" t="s">
        <v>103</v>
      </c>
      <c r="H3" s="227"/>
      <c r="I3" s="227"/>
      <c r="J3" s="227"/>
      <c r="K3" s="230" t="s">
        <v>105</v>
      </c>
      <c r="L3" s="227" t="s">
        <v>104</v>
      </c>
      <c r="M3" s="227"/>
      <c r="N3" s="227"/>
      <c r="O3" s="227"/>
      <c r="P3" s="230" t="s">
        <v>106</v>
      </c>
      <c r="Q3" s="230" t="s">
        <v>107</v>
      </c>
    </row>
    <row r="4" spans="1:17" x14ac:dyDescent="0.25">
      <c r="A4" s="230"/>
      <c r="B4" s="37" t="s">
        <v>97</v>
      </c>
      <c r="C4" s="37" t="s">
        <v>98</v>
      </c>
      <c r="D4" s="37" t="s">
        <v>99</v>
      </c>
      <c r="E4" s="37" t="s">
        <v>100</v>
      </c>
      <c r="F4" s="230"/>
      <c r="G4" s="37" t="s">
        <v>97</v>
      </c>
      <c r="H4" s="37" t="s">
        <v>98</v>
      </c>
      <c r="I4" s="37" t="s">
        <v>99</v>
      </c>
      <c r="J4" s="37" t="s">
        <v>100</v>
      </c>
      <c r="K4" s="230"/>
      <c r="L4" s="37" t="s">
        <v>97</v>
      </c>
      <c r="M4" s="37" t="s">
        <v>98</v>
      </c>
      <c r="N4" s="37" t="s">
        <v>99</v>
      </c>
      <c r="O4" s="37" t="s">
        <v>100</v>
      </c>
      <c r="P4" s="230"/>
      <c r="Q4" s="230"/>
    </row>
    <row r="5" spans="1:17" ht="15.75" x14ac:dyDescent="0.25">
      <c r="A5" s="38" t="s">
        <v>60</v>
      </c>
      <c r="B5" s="39">
        <f>'Данные Заявителя'!$B$12*SUM('Данные Заявителя'!C35:E35)+'Данные Заявителя'!$B$13*SUM('Данные Заявителя'!C36:E36)+'Данные Заявителя'!$B$14*SUM('Данные Заявителя'!C37:E37)+'Данные Заявителя'!$B$15*SUM('Данные Заявителя'!C38:E38)+'Данные Заявителя'!$B$16*SUM('Данные Заявителя'!C39:E39)</f>
        <v>20000</v>
      </c>
      <c r="C5" s="39">
        <f>'Данные Заявителя'!$B$12*SUM('Данные Заявителя'!F35:H35)+'Данные Заявителя'!$B$13*SUM('Данные Заявителя'!F36:H36)+'Данные Заявителя'!$B$14*SUM('Данные Заявителя'!F37:H37)+'Данные Заявителя'!$B$15*SUM('Данные Заявителя'!F38:H38)+'Данные Заявителя'!$B$16*SUM('Данные Заявителя'!F39:H39)</f>
        <v>247500</v>
      </c>
      <c r="D5" s="39">
        <f>'Данные Заявителя'!$B$12*SUM('Данные Заявителя'!I35:K35)+'Данные Заявителя'!$B$13*SUM('Данные Заявителя'!I36:K36)+'Данные Заявителя'!$B$14*SUM('Данные Заявителя'!I37:K37)+'Данные Заявителя'!$B$15*SUM('Данные Заявителя'!I38:K38)+'Данные Заявителя'!$B$16*SUM('Данные Заявителя'!I39:K39)</f>
        <v>288750</v>
      </c>
      <c r="E5" s="39">
        <f>'Данные Заявителя'!$B$12*SUM('Данные Заявителя'!L35:N35)+'Данные Заявителя'!$B$13*SUM('Данные Заявителя'!L36:N36)+'Данные Заявителя'!$B$14*SUM('Данные Заявителя'!L37:N37)+'Данные Заявителя'!$B$15*SUM('Данные Заявителя'!L38:N38)+'Данные Заявителя'!$B$16*SUM('Данные Заявителя'!L39:N39)</f>
        <v>412500</v>
      </c>
      <c r="F5" s="40">
        <f>SUM(B5:E5)</f>
        <v>968750</v>
      </c>
      <c r="G5" s="39">
        <f>('Данные Заявителя'!$B$12*SUM('Данные Заявителя'!O35:Q35)+'Данные Заявителя'!$B$13*SUM('Данные Заявителя'!O36:Q36)+'Данные Заявителя'!$B$14*SUM('Данные Заявителя'!O37:Q37)+'Данные Заявителя'!$B$15*SUM('Данные Заявителя'!O38:Q38)+'Данные Заявителя'!$B$16*SUM('Данные Заявителя'!O39:Q39))*(1+'Данные Заявителя'!$B$6)</f>
        <v>524700</v>
      </c>
      <c r="H5" s="39">
        <f>('Данные Заявителя'!$B$12*SUM('Данные Заявителя'!R35:T35)+'Данные Заявителя'!$B$13*SUM('Данные Заявителя'!R36:T36)+'Данные Заявителя'!$B$14*SUM('Данные Заявителя'!R37:T37)+'Данные Заявителя'!$B$15*SUM('Данные Заявителя'!R38:T38)+'Данные Заявителя'!$B$16*SUM('Данные Заявителя'!R39:T39))*(1+'Данные Заявителя'!$B$6)</f>
        <v>524700</v>
      </c>
      <c r="I5" s="39">
        <f>('Данные Заявителя'!$B$12*SUM('Данные Заявителя'!U35:W35)+'Данные Заявителя'!$B$13*SUM('Данные Заявителя'!U36:W36)+'Данные Заявителя'!$B$14*SUM('Данные Заявителя'!U37:W37)+'Данные Заявителя'!$B$15*SUM('Данные Заявителя'!U38:W38)+'Данные Заявителя'!$B$16*SUM('Данные Заявителя'!U39:W39))*(1+'Данные Заявителя'!$B$6)</f>
        <v>612150</v>
      </c>
      <c r="J5" s="39">
        <f>('Данные Заявителя'!$B$12*SUM('Данные Заявителя'!X35:Z35)+'Данные Заявителя'!$B$13*SUM('Данные Заявителя'!X36:Z36)+'Данные Заявителя'!$B$14*SUM('Данные Заявителя'!X37:Z37)+'Данные Заявителя'!$B$15*SUM('Данные Заявителя'!X38:Z38)+'Данные Заявителя'!$B$16*SUM('Данные Заявителя'!X39:Z39))*(1+'Данные Заявителя'!$B$6)</f>
        <v>655875</v>
      </c>
      <c r="K5" s="40">
        <f>SUM(G5:J5)</f>
        <v>2317425</v>
      </c>
      <c r="L5" s="39">
        <f>('Данные Заявителя'!$B$12*SUM('Данные Заявителя'!AA35:AC35)+'Данные Заявителя'!$B$13*SUM('Данные Заявителя'!AA36:AC36)+'Данные Заявителя'!$B$14*SUM('Данные Заявителя'!AA37:AC37)+'Данные Заявителя'!$B$15*SUM('Данные Заявителя'!AA38:AC38)+'Данные Заявителя'!$B$16*SUM('Данные Заявителя'!AA39:AC39))*(1+'Данные Заявителя'!$B$6)^2</f>
        <v>695227.50000000012</v>
      </c>
      <c r="M5" s="39">
        <f>('Данные Заявителя'!$B$12*SUM('Данные Заявителя'!AD35:AF35)+'Данные Заявителя'!$B$13*SUM('Данные Заявителя'!AD36:AF36)+'Данные Заявителя'!$B$14*SUM('Данные Заявителя'!AD37:AF37)+'Данные Заявителя'!$B$15*SUM('Данные Заявителя'!AD38:AF38)+'Данные Заявителя'!$B$16*SUM('Данные Заявителя'!AD39:AF39))*(1+'Данные Заявителя'!$B$6)^2</f>
        <v>695227.50000000012</v>
      </c>
      <c r="N5" s="39">
        <f>('Данные Заявителя'!$B$12*SUM('Данные Заявителя'!AG35:AI35)+'Данные Заявителя'!$B$13*SUM('Данные Заявителя'!AG36:AI36)+'Данные Заявителя'!$B$14*SUM('Данные Заявителя'!AG37:AI37)+'Данные Заявителя'!$B$15*SUM('Данные Заявителя'!AG38:AI38)+'Данные Заявителя'!$B$16*SUM('Данные Заявителя'!AG39:AI39))*(1+'Данные Заявителя'!$B$6)^2</f>
        <v>834273.00000000012</v>
      </c>
      <c r="O5" s="39">
        <f>('Данные Заявителя'!$B$12*SUM('Данные Заявителя'!AJ35:AL35)+'Данные Заявителя'!$B$13*SUM('Данные Заявителя'!AJ36:AL36)+'Данные Заявителя'!$B$14*SUM('Данные Заявителя'!AJ37:AL37)+'Данные Заявителя'!$B$15*SUM('Данные Заявителя'!AJ38:AL38)+'Данные Заявителя'!$B$16*SUM('Данные Заявителя'!AJ39:AL39))*(1+'Данные Заявителя'!$B$6)^2</f>
        <v>834273.00000000012</v>
      </c>
      <c r="P5" s="40">
        <f>SUM(L5:O5)</f>
        <v>3059001.0000000005</v>
      </c>
      <c r="Q5" s="40">
        <f>F5+K5+P5</f>
        <v>6345176</v>
      </c>
    </row>
    <row r="6" spans="1:17" ht="15.75" x14ac:dyDescent="0.25">
      <c r="A6" s="38" t="s">
        <v>131</v>
      </c>
      <c r="B6" s="39">
        <f>'Данные Заявителя'!$B$46*SUM('Данные Заявителя'!C46:E46)+'Данные Заявителя'!$B$47*SUM('Данные Заявителя'!C47:E47)+'Данные Заявителя'!$B$48*SUM('Данные Заявителя'!C48:E48)+'Данные Заявителя'!$B$49*SUM('Данные Заявителя'!C49:E49)+'Данные Заявителя'!$B$50*SUM('Данные Заявителя'!C50:E50)+'Данные Заявителя'!$B$51*SUM('Данные Заявителя'!C51:E51)</f>
        <v>261000</v>
      </c>
      <c r="C6" s="39">
        <f>'Данные Заявителя'!$B$46*SUM('Данные Заявителя'!F46:H46)+'Данные Заявителя'!$B$47*SUM('Данные Заявителя'!F47:H47)+'Данные Заявителя'!$B$48*SUM('Данные Заявителя'!F48:H48)+'Данные Заявителя'!$B$49*SUM('Данные Заявителя'!F49:H49)+'Данные Заявителя'!$B$50*SUM('Данные Заявителя'!F50:H50)+'Данные Заявителя'!$B$51*SUM('Данные Заявителя'!F51:H51)</f>
        <v>387000</v>
      </c>
      <c r="D6" s="39">
        <f>'Данные Заявителя'!$B$46*SUM('Данные Заявителя'!I46:K46)+'Данные Заявителя'!$B$47*SUM('Данные Заявителя'!I47:K47)+'Данные Заявителя'!$B$48*SUM('Данные Заявителя'!I48:K48)+'Данные Заявителя'!$B$49*SUM('Данные Заявителя'!I49:K49)+'Данные Заявителя'!$B$50*SUM('Данные Заявителя'!I50:K50)+'Данные Заявителя'!$B$51*SUM('Данные Заявителя'!I51:K51)</f>
        <v>531000</v>
      </c>
      <c r="E6" s="39">
        <f>'Данные Заявителя'!$B$46*SUM('Данные Заявителя'!L46:N46)+'Данные Заявителя'!$B$47*SUM('Данные Заявителя'!L47:N47)+'Данные Заявителя'!$B$48*SUM('Данные Заявителя'!L48:N48)+'Данные Заявителя'!$B$49*SUM('Данные Заявителя'!L49:N49)+'Данные Заявителя'!$B$50*SUM('Данные Заявителя'!L50:N50)+'Данные Заявителя'!$B$51*SUM('Данные Заявителя'!L51:N51)</f>
        <v>531000</v>
      </c>
      <c r="F6" s="40">
        <f t="shared" ref="F6:F20" si="0">SUM(B6:E6)</f>
        <v>1710000</v>
      </c>
      <c r="G6" s="39">
        <f>('Данные Заявителя'!$B$46*SUM('Данные Заявителя'!O46:Q46)+'Данные Заявителя'!$B$47*SUM('Данные Заявителя'!O47:Q47)+'Данные Заявителя'!$B$48*SUM('Данные Заявителя'!O48:Q48)+'Данные Заявителя'!$B$49*SUM('Данные Заявителя'!O49:Q49)+'Данные Заявителя'!$B$50*SUM('Данные Заявителя'!O50:Q50)+'Данные Заявителя'!$B$51*SUM('Данные Заявителя'!O51:Q51))*('Данные Заявителя'!$B$7+1)</f>
        <v>552240</v>
      </c>
      <c r="H6" s="39">
        <f>('Данные Заявителя'!$B$46*SUM('Данные Заявителя'!R46:T46)+'Данные Заявителя'!$B$47*SUM('Данные Заявителя'!R47:T47)+'Данные Заявителя'!$B$48*SUM('Данные Заявителя'!R48:T48)+'Данные Заявителя'!$B$49*SUM('Данные Заявителя'!R49:T49)+'Данные Заявителя'!$B$50*SUM('Данные Заявителя'!R50:T50)+'Данные Заявителя'!$B$51*SUM('Данные Заявителя'!R51:T51))*('Данные Заявителя'!$B$7+1)</f>
        <v>552240</v>
      </c>
      <c r="I6" s="39">
        <f>('Данные Заявителя'!$B$46*SUM('Данные Заявителя'!U46:W46)+'Данные Заявителя'!$B$47*SUM('Данные Заявителя'!U47:W47)+'Данные Заявителя'!$B$48*SUM('Данные Заявителя'!U48:W48)+'Данные Заявителя'!$B$49*SUM('Данные Заявителя'!U49:W49)+'Данные Заявителя'!$B$50*SUM('Данные Заявителя'!U50:W50)+'Данные Заявителя'!$B$51*SUM('Данные Заявителя'!U51:W51))*('Данные Заявителя'!$B$7+1)</f>
        <v>552240</v>
      </c>
      <c r="J6" s="39">
        <f>('Данные Заявителя'!$B$46*SUM('Данные Заявителя'!X46:Z46)+'Данные Заявителя'!$B$47*SUM('Данные Заявителя'!X47:Z47)+'Данные Заявителя'!$B$48*SUM('Данные Заявителя'!X48:Z48)+'Данные Заявителя'!$B$49*SUM('Данные Заявителя'!X49:Z49)+'Данные Заявителя'!$B$50*SUM('Данные Заявителя'!X50:Z50)+'Данные Заявителя'!$B$51*SUM('Данные Заявителя'!X51:Z51))*('Данные Заявителя'!$B$7+1)</f>
        <v>552240</v>
      </c>
      <c r="K6" s="40">
        <f t="shared" ref="K6:K20" si="1">SUM(G6:J6)</f>
        <v>2208960</v>
      </c>
      <c r="L6" s="39">
        <f>('Данные Заявителя'!$B$46*SUM('Данные Заявителя'!AA46:AC46)+'Данные Заявителя'!$B$47*SUM('Данные Заявителя'!AA47:AC47)+'Данные Заявителя'!$B$48*SUM('Данные Заявителя'!AA48:AC48)+'Данные Заявителя'!$B$49*SUM('Данные Заявителя'!AA49:AC49)+'Данные Заявителя'!$B$50*SUM('Данные Заявителя'!AA50:AC50)+'Данные Заявителя'!$B$51*SUM('Данные Заявителя'!AA51:AC51))*('Данные Заявителя'!$B$7+1)^2</f>
        <v>574329.60000000009</v>
      </c>
      <c r="M6" s="39">
        <f>('Данные Заявителя'!$B$46*SUM('Данные Заявителя'!AD46:AF46)+'Данные Заявителя'!$B$47*SUM('Данные Заявителя'!AD47:AF47)+'Данные Заявителя'!$B$48*SUM('Данные Заявителя'!AD48:AF48)+'Данные Заявителя'!$B$49*SUM('Данные Заявителя'!AD49:AF49)+'Данные Заявителя'!$B$50*SUM('Данные Заявителя'!AD50:AF50)+'Данные Заявителя'!$B$51*SUM('Данные Заявителя'!AD51:AF51))*('Данные Заявителя'!$B$7+1)^2</f>
        <v>574329.60000000009</v>
      </c>
      <c r="N6" s="39">
        <f>('Данные Заявителя'!$B$46*SUM('Данные Заявителя'!AG46:AI46)+'Данные Заявителя'!$B$47*SUM('Данные Заявителя'!AG47:AI47)+'Данные Заявителя'!$B$48*SUM('Данные Заявителя'!AG48:AI48)+'Данные Заявителя'!$B$49*SUM('Данные Заявителя'!AG49:AI49)+'Данные Заявителя'!$B$50*SUM('Данные Заявителя'!AG50:AI50)+'Данные Заявителя'!$B$51*SUM('Данные Заявителя'!AG51:AI51))*('Данные Заявителя'!$B$7+1)^2</f>
        <v>574329.60000000009</v>
      </c>
      <c r="O6" s="39">
        <f>('Данные Заявителя'!$B$46*SUM('Данные Заявителя'!AJ46:AL46)+'Данные Заявителя'!$B$47*SUM('Данные Заявителя'!AJ47:AL47)+'Данные Заявителя'!$B$48*SUM('Данные Заявителя'!AJ48:AL48)+'Данные Заявителя'!$B$49*SUM('Данные Заявителя'!AJ49:AL49)+'Данные Заявителя'!$B$50*SUM('Данные Заявителя'!AJ50:AL50)+'Данные Заявителя'!$B$51*SUM('Данные Заявителя'!AJ51:AL51))*('Данные Заявителя'!$B$7+1)^2</f>
        <v>574329.60000000009</v>
      </c>
      <c r="P6" s="40">
        <f t="shared" ref="P6:P20" si="2">SUM(L6:O6)</f>
        <v>2297318.4000000004</v>
      </c>
      <c r="Q6" s="40">
        <f t="shared" ref="Q6:Q20" si="3">F6+K6+P6</f>
        <v>6216278.4000000004</v>
      </c>
    </row>
    <row r="7" spans="1:17" ht="31.5" x14ac:dyDescent="0.25">
      <c r="A7" s="38" t="s">
        <v>61</v>
      </c>
      <c r="B7" s="39">
        <f>SUM('Данные Заявителя'!$B$106:$B$109)*B6</f>
        <v>78822.000000000015</v>
      </c>
      <c r="C7" s="39">
        <f>SUM('Данные Заявителя'!$B$106:$B$109)*C6</f>
        <v>116874.00000000001</v>
      </c>
      <c r="D7" s="39">
        <f>SUM('Данные Заявителя'!$B$106:$B$109)*D6</f>
        <v>160362.00000000003</v>
      </c>
      <c r="E7" s="39">
        <f>SUM('Данные Заявителя'!$B$106:$B$109)*E6</f>
        <v>160362.00000000003</v>
      </c>
      <c r="F7" s="40">
        <f t="shared" si="0"/>
        <v>516420.00000000012</v>
      </c>
      <c r="G7" s="39">
        <f>SUM('Данные Заявителя'!$B$106:$B$109)*G6</f>
        <v>166776.48000000004</v>
      </c>
      <c r="H7" s="39">
        <f>SUM('Данные Заявителя'!$B$106:$B$109)*H6</f>
        <v>166776.48000000004</v>
      </c>
      <c r="I7" s="39">
        <f>SUM('Данные Заявителя'!$B$106:$B$109)*I6</f>
        <v>166776.48000000004</v>
      </c>
      <c r="J7" s="39">
        <f>SUM('Данные Заявителя'!$B$106:$B$109)*J6</f>
        <v>166776.48000000004</v>
      </c>
      <c r="K7" s="40">
        <f t="shared" si="1"/>
        <v>667105.92000000016</v>
      </c>
      <c r="L7" s="39">
        <f>SUM('Данные Заявителя'!$B$106:$B$109)*L6</f>
        <v>173447.53920000006</v>
      </c>
      <c r="M7" s="39">
        <f>SUM('Данные Заявителя'!$B$106:$B$109)*M6</f>
        <v>173447.53920000006</v>
      </c>
      <c r="N7" s="39">
        <f>SUM('Данные Заявителя'!$B$106:$B$109)*N6</f>
        <v>173447.53920000006</v>
      </c>
      <c r="O7" s="39">
        <f>SUM('Данные Заявителя'!$B$106:$B$109)*O6</f>
        <v>173447.53920000006</v>
      </c>
      <c r="P7" s="40">
        <f t="shared" si="2"/>
        <v>693790.15680000023</v>
      </c>
      <c r="Q7" s="40">
        <f t="shared" si="3"/>
        <v>1877316.0768000006</v>
      </c>
    </row>
    <row r="8" spans="1:17" s="43" customFormat="1" ht="15.75" x14ac:dyDescent="0.25">
      <c r="A8" s="38" t="s">
        <v>109</v>
      </c>
      <c r="B8" s="41">
        <f>SUM('Данные Заявителя'!C74:E77)</f>
        <v>0</v>
      </c>
      <c r="C8" s="41">
        <f>SUM('Данные Заявителя'!F74:H77)</f>
        <v>0</v>
      </c>
      <c r="D8" s="41">
        <f>SUM('Данные Заявителя'!I74:K77)</f>
        <v>0</v>
      </c>
      <c r="E8" s="41">
        <f>SUM('Данные Заявителя'!L74:N77)</f>
        <v>0</v>
      </c>
      <c r="F8" s="42">
        <f t="shared" si="0"/>
        <v>0</v>
      </c>
      <c r="G8" s="41">
        <f>SUM('Данные Заявителя'!O74:Q77)</f>
        <v>0</v>
      </c>
      <c r="H8" s="41">
        <f>SUM('Данные Заявителя'!R74:T77)</f>
        <v>0</v>
      </c>
      <c r="I8" s="41">
        <f>SUM('Данные Заявителя'!U74:W77)</f>
        <v>0</v>
      </c>
      <c r="J8" s="41">
        <f>SUM('Данные Заявителя'!X74:Z77)</f>
        <v>0</v>
      </c>
      <c r="K8" s="42">
        <f t="shared" si="1"/>
        <v>0</v>
      </c>
      <c r="L8" s="41">
        <f>SUM('Данные Заявителя'!AA74:AC77)</f>
        <v>0</v>
      </c>
      <c r="M8" s="41">
        <f>SUM('Данные Заявителя'!AD74:AF77)</f>
        <v>0</v>
      </c>
      <c r="N8" s="41">
        <f>SUM('Данные Заявителя'!AG74:AI77)</f>
        <v>0</v>
      </c>
      <c r="O8" s="41">
        <f>SUM('Данные Заявителя'!AJ74:AL77)</f>
        <v>0</v>
      </c>
      <c r="P8" s="42">
        <f t="shared" si="2"/>
        <v>0</v>
      </c>
      <c r="Q8" s="42">
        <f t="shared" si="3"/>
        <v>0</v>
      </c>
    </row>
    <row r="9" spans="1:17" ht="15.75" x14ac:dyDescent="0.25">
      <c r="A9" s="38" t="s">
        <v>132</v>
      </c>
      <c r="B9" s="39">
        <f>B10+B11</f>
        <v>30000</v>
      </c>
      <c r="C9" s="39">
        <f t="shared" ref="C9:E9" si="4">C10+C11</f>
        <v>30000</v>
      </c>
      <c r="D9" s="39">
        <f t="shared" si="4"/>
        <v>30000</v>
      </c>
      <c r="E9" s="39">
        <f t="shared" si="4"/>
        <v>30000</v>
      </c>
      <c r="F9" s="40">
        <f t="shared" si="0"/>
        <v>120000</v>
      </c>
      <c r="G9" s="39">
        <f>G10+G11</f>
        <v>37500</v>
      </c>
      <c r="H9" s="39">
        <f t="shared" ref="H9" si="5">H10+H11</f>
        <v>37500</v>
      </c>
      <c r="I9" s="39">
        <f t="shared" ref="I9" si="6">I10+I11</f>
        <v>37500</v>
      </c>
      <c r="J9" s="39">
        <f t="shared" ref="J9" si="7">J10+J11</f>
        <v>37500</v>
      </c>
      <c r="K9" s="40">
        <f t="shared" si="1"/>
        <v>150000</v>
      </c>
      <c r="L9" s="39">
        <f>L10+L11</f>
        <v>45000</v>
      </c>
      <c r="M9" s="39">
        <f t="shared" ref="M9" si="8">M10+M11</f>
        <v>45000</v>
      </c>
      <c r="N9" s="39">
        <f t="shared" ref="N9" si="9">N10+N11</f>
        <v>45000</v>
      </c>
      <c r="O9" s="39">
        <f t="shared" ref="O9" si="10">O10+O11</f>
        <v>45000</v>
      </c>
      <c r="P9" s="40">
        <f t="shared" si="2"/>
        <v>180000</v>
      </c>
      <c r="Q9" s="40">
        <f t="shared" si="3"/>
        <v>450000</v>
      </c>
    </row>
    <row r="10" spans="1:17" s="48" customFormat="1" ht="12.75" x14ac:dyDescent="0.2">
      <c r="A10" s="44" t="s">
        <v>62</v>
      </c>
      <c r="B10" s="45">
        <f>'Данные Заявителя'!B21*3</f>
        <v>15000</v>
      </c>
      <c r="C10" s="46">
        <f>B10</f>
        <v>15000</v>
      </c>
      <c r="D10" s="46">
        <f>C10</f>
        <v>15000</v>
      </c>
      <c r="E10" s="46">
        <f>D10</f>
        <v>15000</v>
      </c>
      <c r="F10" s="47">
        <f t="shared" si="0"/>
        <v>60000</v>
      </c>
      <c r="G10" s="46">
        <f>'Данные Заявителя'!B21*60%/40%*3</f>
        <v>22500</v>
      </c>
      <c r="H10" s="46">
        <f>G10</f>
        <v>22500</v>
      </c>
      <c r="I10" s="46">
        <f>H10</f>
        <v>22500</v>
      </c>
      <c r="J10" s="46">
        <f>I10</f>
        <v>22500</v>
      </c>
      <c r="K10" s="47">
        <f t="shared" si="1"/>
        <v>90000</v>
      </c>
      <c r="L10" s="46">
        <f>'Данные Заявителя'!B21*80%/40%*3</f>
        <v>30000</v>
      </c>
      <c r="M10" s="46">
        <f>L10</f>
        <v>30000</v>
      </c>
      <c r="N10" s="46">
        <f>M10</f>
        <v>30000</v>
      </c>
      <c r="O10" s="46">
        <f>N10</f>
        <v>30000</v>
      </c>
      <c r="P10" s="47">
        <f t="shared" si="2"/>
        <v>120000</v>
      </c>
      <c r="Q10" s="47">
        <f t="shared" si="3"/>
        <v>270000</v>
      </c>
    </row>
    <row r="11" spans="1:17" s="48" customFormat="1" ht="12.75" x14ac:dyDescent="0.2">
      <c r="A11" s="44" t="s">
        <v>63</v>
      </c>
      <c r="B11" s="45">
        <f>'Данные Заявителя'!C57+'Данные Заявителя'!D57+'Данные Заявителя'!E57</f>
        <v>15000</v>
      </c>
      <c r="C11" s="46">
        <f>+'Данные Заявителя'!F57+'Данные Заявителя'!G57+'Данные Заявителя'!H57</f>
        <v>15000</v>
      </c>
      <c r="D11" s="46">
        <f>+'Данные Заявителя'!I57+'Данные Заявителя'!J57+'Данные Заявителя'!K57</f>
        <v>15000</v>
      </c>
      <c r="E11" s="46">
        <f>+'Данные Заявителя'!L57+'Данные Заявителя'!M57+'Данные Заявителя'!N57</f>
        <v>15000</v>
      </c>
      <c r="F11" s="47">
        <f t="shared" si="0"/>
        <v>60000</v>
      </c>
      <c r="G11" s="46">
        <f>+'Данные Заявителя'!O57+'Данные Заявителя'!P57+'Данные Заявителя'!Q57</f>
        <v>15000</v>
      </c>
      <c r="H11" s="46">
        <f>+'Данные Заявителя'!R57+'Данные Заявителя'!S57+'Данные Заявителя'!T57</f>
        <v>15000</v>
      </c>
      <c r="I11" s="46">
        <f>+'Данные Заявителя'!U57+'Данные Заявителя'!V57+'Данные Заявителя'!W57</f>
        <v>15000</v>
      </c>
      <c r="J11" s="46">
        <f>+'Данные Заявителя'!X57+'Данные Заявителя'!Y57+'Данные Заявителя'!Z57</f>
        <v>15000</v>
      </c>
      <c r="K11" s="47">
        <f t="shared" si="1"/>
        <v>60000</v>
      </c>
      <c r="L11" s="46">
        <f>'Данные Заявителя'!AA57+'Данные Заявителя'!AB57+'Данные Заявителя'!AC57</f>
        <v>15000</v>
      </c>
      <c r="M11" s="46">
        <f>+'Данные Заявителя'!AD57+'Данные Заявителя'!AE57+'Данные Заявителя'!AF57</f>
        <v>15000</v>
      </c>
      <c r="N11" s="46">
        <f>+'Данные Заявителя'!AG57+'Данные Заявителя'!AH57+'Данные Заявителя'!AI57</f>
        <v>15000</v>
      </c>
      <c r="O11" s="46">
        <f>+'Данные Заявителя'!AJ57+'Данные Заявителя'!AK57+'Данные Заявителя'!AL57</f>
        <v>15000</v>
      </c>
      <c r="P11" s="47">
        <f t="shared" si="2"/>
        <v>60000</v>
      </c>
      <c r="Q11" s="47">
        <f t="shared" si="3"/>
        <v>180000</v>
      </c>
    </row>
    <row r="12" spans="1:17" ht="15.75" customHeight="1" x14ac:dyDescent="0.25">
      <c r="A12" s="38" t="s">
        <v>55</v>
      </c>
      <c r="B12" s="49">
        <f>'Данные Заявителя'!C58+'Данные Заявителя'!D58+'Данные Заявителя'!E58</f>
        <v>1500</v>
      </c>
      <c r="C12" s="50">
        <f>'Данные Заявителя'!F58+'Данные Заявителя'!G58+'Данные Заявителя'!H58</f>
        <v>1500</v>
      </c>
      <c r="D12" s="50">
        <f>+'Данные Заявителя'!I58+'Данные Заявителя'!J58+'Данные Заявителя'!K58</f>
        <v>1500</v>
      </c>
      <c r="E12" s="50">
        <f>+'Данные Заявителя'!L58+'Данные Заявителя'!M58+'Данные Заявителя'!N58</f>
        <v>1500</v>
      </c>
      <c r="F12" s="47">
        <f t="shared" si="0"/>
        <v>6000</v>
      </c>
      <c r="G12" s="50">
        <f>'Данные Заявителя'!O58+'Данные Заявителя'!P58+'Данные Заявителя'!Q58</f>
        <v>1500</v>
      </c>
      <c r="H12" s="50">
        <f>+'Данные Заявителя'!R58+'Данные Заявителя'!S58+'Данные Заявителя'!T58</f>
        <v>1500</v>
      </c>
      <c r="I12" s="50">
        <f>+'Данные Заявителя'!U58+'Данные Заявителя'!V58+'Данные Заявителя'!W58</f>
        <v>1500</v>
      </c>
      <c r="J12" s="50">
        <f>+'Данные Заявителя'!X58+'Данные Заявителя'!Y58+'Данные Заявителя'!Z58</f>
        <v>1500</v>
      </c>
      <c r="K12" s="47">
        <f t="shared" si="1"/>
        <v>6000</v>
      </c>
      <c r="L12" s="50">
        <f>+'Данные Заявителя'!AA58+'Данные Заявителя'!AB58+'Данные Заявителя'!AC58</f>
        <v>1500</v>
      </c>
      <c r="M12" s="50">
        <f>+'Данные Заявителя'!AD58+'Данные Заявителя'!AE58+'Данные Заявителя'!AF58</f>
        <v>1500</v>
      </c>
      <c r="N12" s="50">
        <f>+'Данные Заявителя'!AG58+'Данные Заявителя'!AH58+'Данные Заявителя'!AI58</f>
        <v>1500</v>
      </c>
      <c r="O12" s="50">
        <f>+'Данные Заявителя'!AJ58+'Данные Заявителя'!AK58+'Данные Заявителя'!AL58</f>
        <v>1500</v>
      </c>
      <c r="P12" s="47">
        <f t="shared" si="2"/>
        <v>6000</v>
      </c>
      <c r="Q12" s="47">
        <f t="shared" si="3"/>
        <v>18000</v>
      </c>
    </row>
    <row r="13" spans="1:17" ht="15.75" x14ac:dyDescent="0.25">
      <c r="A13" s="38" t="s">
        <v>56</v>
      </c>
      <c r="B13" s="49">
        <f>'Данные Заявителя'!C59+'Данные Заявителя'!D59+'Данные Заявителя'!E59</f>
        <v>3000</v>
      </c>
      <c r="C13" s="50">
        <f>'Данные Заявителя'!F59+'Данные Заявителя'!G59+'Данные Заявителя'!H59</f>
        <v>3000</v>
      </c>
      <c r="D13" s="50">
        <f>+'Данные Заявителя'!I59+'Данные Заявителя'!J59+'Данные Заявителя'!K59</f>
        <v>3000</v>
      </c>
      <c r="E13" s="50">
        <f>+'Данные Заявителя'!L59+'Данные Заявителя'!M59+'Данные Заявителя'!N59</f>
        <v>3000</v>
      </c>
      <c r="F13" s="47">
        <f t="shared" si="0"/>
        <v>12000</v>
      </c>
      <c r="G13" s="50">
        <f>'Данные Заявителя'!O59+'Данные Заявителя'!P59+'Данные Заявителя'!Q59</f>
        <v>3000</v>
      </c>
      <c r="H13" s="50">
        <f>+'Данные Заявителя'!R59+'Данные Заявителя'!S59+'Данные Заявителя'!T59</f>
        <v>3000</v>
      </c>
      <c r="I13" s="50">
        <f>+'Данные Заявителя'!U59+'Данные Заявителя'!V59+'Данные Заявителя'!W59</f>
        <v>3000</v>
      </c>
      <c r="J13" s="50">
        <f>+'Данные Заявителя'!X59+'Данные Заявителя'!Y59+'Данные Заявителя'!Z59</f>
        <v>3000</v>
      </c>
      <c r="K13" s="47">
        <f t="shared" si="1"/>
        <v>12000</v>
      </c>
      <c r="L13" s="50">
        <f>+'Данные Заявителя'!AA59+'Данные Заявителя'!AB59+'Данные Заявителя'!AC59</f>
        <v>3000</v>
      </c>
      <c r="M13" s="50">
        <f>+'Данные Заявителя'!AD59+'Данные Заявителя'!AE59+'Данные Заявителя'!AF59</f>
        <v>3000</v>
      </c>
      <c r="N13" s="50">
        <f>+'Данные Заявителя'!AG59+'Данные Заявителя'!AH59+'Данные Заявителя'!AI59</f>
        <v>3000</v>
      </c>
      <c r="O13" s="50">
        <f>+'Данные Заявителя'!AJ59+'Данные Заявителя'!AK59+'Данные Заявителя'!AL59</f>
        <v>3000</v>
      </c>
      <c r="P13" s="47">
        <f t="shared" si="2"/>
        <v>12000</v>
      </c>
      <c r="Q13" s="47">
        <f t="shared" si="3"/>
        <v>36000</v>
      </c>
    </row>
    <row r="14" spans="1:17" ht="15.75" customHeight="1" x14ac:dyDescent="0.25">
      <c r="A14" s="38" t="s">
        <v>57</v>
      </c>
      <c r="B14" s="49">
        <f>'Данные Заявителя'!C60+'Данные Заявителя'!D60+'Данные Заявителя'!E60</f>
        <v>1500</v>
      </c>
      <c r="C14" s="50">
        <f>'Данные Заявителя'!F60+'Данные Заявителя'!G60+'Данные Заявителя'!H60</f>
        <v>1500</v>
      </c>
      <c r="D14" s="50">
        <f>+'Данные Заявителя'!I60+'Данные Заявителя'!J60+'Данные Заявителя'!K60</f>
        <v>1500</v>
      </c>
      <c r="E14" s="50">
        <f>+'Данные Заявителя'!L60+'Данные Заявителя'!M60+'Данные Заявителя'!N60</f>
        <v>1500</v>
      </c>
      <c r="F14" s="47">
        <f t="shared" si="0"/>
        <v>6000</v>
      </c>
      <c r="G14" s="50">
        <f>'Данные Заявителя'!O60+'Данные Заявителя'!P60+'Данные Заявителя'!Q60</f>
        <v>1500</v>
      </c>
      <c r="H14" s="50">
        <f>+'Данные Заявителя'!R60+'Данные Заявителя'!S60+'Данные Заявителя'!T60</f>
        <v>1500</v>
      </c>
      <c r="I14" s="50">
        <f>+'Данные Заявителя'!U60+'Данные Заявителя'!V60+'Данные Заявителя'!W60</f>
        <v>1500</v>
      </c>
      <c r="J14" s="50">
        <f>+'Данные Заявителя'!X60+'Данные Заявителя'!Y60+'Данные Заявителя'!Z60</f>
        <v>1500</v>
      </c>
      <c r="K14" s="47">
        <f t="shared" si="1"/>
        <v>6000</v>
      </c>
      <c r="L14" s="50">
        <f>+'Данные Заявителя'!AA60+'Данные Заявителя'!AB60+'Данные Заявителя'!AC60</f>
        <v>1500</v>
      </c>
      <c r="M14" s="50">
        <f>+'Данные Заявителя'!AD60+'Данные Заявителя'!AE60+'Данные Заявителя'!AF60</f>
        <v>1500</v>
      </c>
      <c r="N14" s="50">
        <f>+'Данные Заявителя'!AG60+'Данные Заявителя'!AH60+'Данные Заявителя'!AI60</f>
        <v>1500</v>
      </c>
      <c r="O14" s="50">
        <f>+'Данные Заявителя'!AJ60+'Данные Заявителя'!AK60+'Данные Заявителя'!AL60</f>
        <v>1500</v>
      </c>
      <c r="P14" s="47">
        <f t="shared" si="2"/>
        <v>6000</v>
      </c>
      <c r="Q14" s="47">
        <f t="shared" si="3"/>
        <v>18000</v>
      </c>
    </row>
    <row r="15" spans="1:17" ht="31.5" x14ac:dyDescent="0.25">
      <c r="A15" s="51" t="s">
        <v>71</v>
      </c>
      <c r="B15" s="49">
        <f>'Данные Заявителя'!C61+'Данные Заявителя'!D61+'Данные Заявителя'!E61</f>
        <v>30000</v>
      </c>
      <c r="C15" s="50">
        <f>'Данные Заявителя'!F61+'Данные Заявителя'!G61+'Данные Заявителя'!H61</f>
        <v>0</v>
      </c>
      <c r="D15" s="50">
        <f>+'Данные Заявителя'!I61+'Данные Заявителя'!J61+'Данные Заявителя'!K61</f>
        <v>0</v>
      </c>
      <c r="E15" s="50">
        <f>+'Данные Заявителя'!L61+'Данные Заявителя'!M61+'Данные Заявителя'!N61</f>
        <v>0</v>
      </c>
      <c r="F15" s="47">
        <f t="shared" si="0"/>
        <v>30000</v>
      </c>
      <c r="G15" s="50">
        <f>'Данные Заявителя'!O61+'Данные Заявителя'!P61+'Данные Заявителя'!Q61</f>
        <v>15000</v>
      </c>
      <c r="H15" s="50">
        <f>+'Данные Заявителя'!R61+'Данные Заявителя'!S61+'Данные Заявителя'!T61</f>
        <v>15000</v>
      </c>
      <c r="I15" s="50">
        <f>+'Данные Заявителя'!U61+'Данные Заявителя'!V61+'Данные Заявителя'!W61</f>
        <v>15000</v>
      </c>
      <c r="J15" s="50">
        <f>+'Данные Заявителя'!X61+'Данные Заявителя'!Y61+'Данные Заявителя'!Z61</f>
        <v>15000</v>
      </c>
      <c r="K15" s="47">
        <f t="shared" si="1"/>
        <v>60000</v>
      </c>
      <c r="L15" s="50">
        <f>+'Данные Заявителя'!AA61+'Данные Заявителя'!AB61+'Данные Заявителя'!AC61</f>
        <v>15000</v>
      </c>
      <c r="M15" s="50">
        <f>+'Данные Заявителя'!AD61+'Данные Заявителя'!AE61+'Данные Заявителя'!AF61</f>
        <v>15000</v>
      </c>
      <c r="N15" s="50">
        <f>+'Данные Заявителя'!AG61+'Данные Заявителя'!AH61+'Данные Заявителя'!AI61</f>
        <v>15000</v>
      </c>
      <c r="O15" s="50">
        <f>+'Данные Заявителя'!AJ61+'Данные Заявителя'!AK61+'Данные Заявителя'!AL61</f>
        <v>15000</v>
      </c>
      <c r="P15" s="47">
        <f t="shared" si="2"/>
        <v>60000</v>
      </c>
      <c r="Q15" s="47">
        <f t="shared" si="3"/>
        <v>150000</v>
      </c>
    </row>
    <row r="16" spans="1:17" ht="47.25" x14ac:dyDescent="0.25">
      <c r="A16" s="38" t="s">
        <v>58</v>
      </c>
      <c r="B16" s="49">
        <f>'Данные Заявителя'!C62+'Данные Заявителя'!D62+'Данные Заявителя'!E62</f>
        <v>0</v>
      </c>
      <c r="C16" s="50">
        <f>'Данные Заявителя'!F62+'Данные Заявителя'!G62+'Данные Заявителя'!H62</f>
        <v>2000</v>
      </c>
      <c r="D16" s="50">
        <f>+'Данные Заявителя'!I62+'Данные Заявителя'!J62+'Данные Заявителя'!K62</f>
        <v>6000</v>
      </c>
      <c r="E16" s="50">
        <f>+'Данные Заявителя'!L62+'Данные Заявителя'!M62+'Данные Заявителя'!N62</f>
        <v>6000</v>
      </c>
      <c r="F16" s="47">
        <f t="shared" si="0"/>
        <v>14000</v>
      </c>
      <c r="G16" s="50">
        <f>'Данные Заявителя'!O62+'Данные Заявителя'!P62+'Данные Заявителя'!Q62</f>
        <v>6000</v>
      </c>
      <c r="H16" s="50">
        <f>+'Данные Заявителя'!R62+'Данные Заявителя'!S62+'Данные Заявителя'!T62</f>
        <v>6000</v>
      </c>
      <c r="I16" s="50">
        <f>+'Данные Заявителя'!U62+'Данные Заявителя'!V62+'Данные Заявителя'!W62</f>
        <v>6000</v>
      </c>
      <c r="J16" s="50">
        <f>+'Данные Заявителя'!X62+'Данные Заявителя'!Y62+'Данные Заявителя'!Z62</f>
        <v>6000</v>
      </c>
      <c r="K16" s="47">
        <f t="shared" si="1"/>
        <v>24000</v>
      </c>
      <c r="L16" s="50">
        <f>+'Данные Заявителя'!AA62+'Данные Заявителя'!AB62+'Данные Заявителя'!AC62</f>
        <v>6000</v>
      </c>
      <c r="M16" s="50">
        <f>+'Данные Заявителя'!AD62+'Данные Заявителя'!AE62+'Данные Заявителя'!AF62</f>
        <v>6000</v>
      </c>
      <c r="N16" s="50">
        <f>+'Данные Заявителя'!AG62+'Данные Заявителя'!AH62+'Данные Заявителя'!AI62</f>
        <v>6000</v>
      </c>
      <c r="O16" s="50">
        <f>+'Данные Заявителя'!AJ62+'Данные Заявителя'!AK62+'Данные Заявителя'!AL62</f>
        <v>6000</v>
      </c>
      <c r="P16" s="47">
        <f t="shared" si="2"/>
        <v>24000</v>
      </c>
      <c r="Q16" s="47">
        <f t="shared" si="3"/>
        <v>62000</v>
      </c>
    </row>
    <row r="17" spans="1:17" ht="15.75" customHeight="1" x14ac:dyDescent="0.25">
      <c r="A17" s="38" t="s">
        <v>59</v>
      </c>
      <c r="B17" s="49">
        <f>'Данные Заявителя'!C63+'Данные Заявителя'!D63+'Данные Заявителя'!E63</f>
        <v>300</v>
      </c>
      <c r="C17" s="50">
        <f>'Данные Заявителя'!F63+'Данные Заявителя'!G63+'Данные Заявителя'!H63</f>
        <v>300</v>
      </c>
      <c r="D17" s="50">
        <f>+'Данные Заявителя'!I63+'Данные Заявителя'!J63+'Данные Заявителя'!K63</f>
        <v>300</v>
      </c>
      <c r="E17" s="50">
        <f>+'Данные Заявителя'!L63+'Данные Заявителя'!M63+'Данные Заявителя'!N63</f>
        <v>300</v>
      </c>
      <c r="F17" s="47">
        <f t="shared" si="0"/>
        <v>1200</v>
      </c>
      <c r="G17" s="50">
        <f>'Данные Заявителя'!O63+'Данные Заявителя'!P63+'Данные Заявителя'!Q63</f>
        <v>300</v>
      </c>
      <c r="H17" s="50">
        <f>+'Данные Заявителя'!R63+'Данные Заявителя'!S63+'Данные Заявителя'!T63</f>
        <v>300</v>
      </c>
      <c r="I17" s="50">
        <f>+'Данные Заявителя'!U63+'Данные Заявителя'!V63+'Данные Заявителя'!W63</f>
        <v>300</v>
      </c>
      <c r="J17" s="50">
        <f>+'Данные Заявителя'!X63+'Данные Заявителя'!Y63+'Данные Заявителя'!Z63</f>
        <v>300</v>
      </c>
      <c r="K17" s="47">
        <f t="shared" si="1"/>
        <v>1200</v>
      </c>
      <c r="L17" s="50">
        <f>+'Данные Заявителя'!AA63+'Данные Заявителя'!AB63+'Данные Заявителя'!AC63</f>
        <v>300</v>
      </c>
      <c r="M17" s="50">
        <f>+'Данные Заявителя'!AD63+'Данные Заявителя'!AE63+'Данные Заявителя'!AF63</f>
        <v>300</v>
      </c>
      <c r="N17" s="50">
        <f>+'Данные Заявителя'!AG63+'Данные Заявителя'!AH63+'Данные Заявителя'!AI63</f>
        <v>300</v>
      </c>
      <c r="O17" s="50">
        <f>+'Данные Заявителя'!AJ63+'Данные Заявителя'!AK63+'Данные Заявителя'!AL63</f>
        <v>300</v>
      </c>
      <c r="P17" s="47">
        <f t="shared" si="2"/>
        <v>1200</v>
      </c>
      <c r="Q17" s="47">
        <f t="shared" si="3"/>
        <v>3600</v>
      </c>
    </row>
    <row r="18" spans="1:17" ht="15.75" customHeight="1" x14ac:dyDescent="0.25">
      <c r="A18" s="38" t="str">
        <f>'Данные Заявителя'!A64:B64</f>
        <v>Прочие расходы</v>
      </c>
      <c r="B18" s="49">
        <f>'Данные Заявителя'!C64+'Данные Заявителя'!D64+'Данные Заявителя'!E64</f>
        <v>2100</v>
      </c>
      <c r="C18" s="50">
        <f>'Данные Заявителя'!F64+'Данные Заявителя'!G64+'Данные Заявителя'!H64</f>
        <v>2100</v>
      </c>
      <c r="D18" s="50">
        <f>+'Данные Заявителя'!I64+'Данные Заявителя'!J64+'Данные Заявителя'!K64</f>
        <v>2100</v>
      </c>
      <c r="E18" s="50">
        <f>+'Данные Заявителя'!L64+'Данные Заявителя'!M64+'Данные Заявителя'!N64</f>
        <v>2100</v>
      </c>
      <c r="F18" s="47">
        <f t="shared" si="0"/>
        <v>8400</v>
      </c>
      <c r="G18" s="50">
        <f>'Данные Заявителя'!O64+'Данные Заявителя'!P64+'Данные Заявителя'!Q64</f>
        <v>2100</v>
      </c>
      <c r="H18" s="50">
        <f>+'Данные Заявителя'!R64+'Данные Заявителя'!S64+'Данные Заявителя'!T64</f>
        <v>2100</v>
      </c>
      <c r="I18" s="50">
        <f>+'Данные Заявителя'!U64+'Данные Заявителя'!V64+'Данные Заявителя'!W64</f>
        <v>2100</v>
      </c>
      <c r="J18" s="50">
        <f>+'Данные Заявителя'!X64+'Данные Заявителя'!Y64+'Данные Заявителя'!Z64</f>
        <v>2100</v>
      </c>
      <c r="K18" s="47">
        <f t="shared" si="1"/>
        <v>8400</v>
      </c>
      <c r="L18" s="50">
        <f>+'Данные Заявителя'!AA64+'Данные Заявителя'!AB64+'Данные Заявителя'!AC64</f>
        <v>2100</v>
      </c>
      <c r="M18" s="50">
        <f>+'Данные Заявителя'!AD64+'Данные Заявителя'!AE64+'Данные Заявителя'!AF64</f>
        <v>2100</v>
      </c>
      <c r="N18" s="50">
        <f>+'Данные Заявителя'!AG64+'Данные Заявителя'!AH64+'Данные Заявителя'!AI64</f>
        <v>2100</v>
      </c>
      <c r="O18" s="50">
        <f>+'Данные Заявителя'!AJ64+'Данные Заявителя'!AK64+'Данные Заявителя'!AL64</f>
        <v>2100</v>
      </c>
      <c r="P18" s="47">
        <f t="shared" si="2"/>
        <v>8400</v>
      </c>
      <c r="Q18" s="47">
        <f t="shared" si="3"/>
        <v>25200</v>
      </c>
    </row>
    <row r="19" spans="1:17" ht="15.75" customHeight="1" x14ac:dyDescent="0.25">
      <c r="A19" s="38" t="s">
        <v>134</v>
      </c>
      <c r="B19" s="52">
        <f>SUM('Данные Заявителя'!C128:C130)</f>
        <v>0</v>
      </c>
      <c r="C19" s="50">
        <f>SUM('Данные Заявителя'!C131:C133)</f>
        <v>0</v>
      </c>
      <c r="D19" s="50">
        <f>SUM('Данные Заявителя'!C134:C136)</f>
        <v>0</v>
      </c>
      <c r="E19" s="50">
        <f>SUM('Данные Заявителя'!C137:C139)</f>
        <v>0</v>
      </c>
      <c r="F19" s="47">
        <f t="shared" si="0"/>
        <v>0</v>
      </c>
      <c r="G19" s="50">
        <f>SUM('Данные Заявителя'!C140:C142)</f>
        <v>0</v>
      </c>
      <c r="H19" s="50">
        <f>SUM('Данные Заявителя'!C143:C145)</f>
        <v>0</v>
      </c>
      <c r="I19" s="50">
        <f>SUM('Данные Заявителя'!C146:C148)</f>
        <v>0</v>
      </c>
      <c r="J19" s="50">
        <f>SUM('Данные Заявителя'!C149:C151)</f>
        <v>0</v>
      </c>
      <c r="K19" s="47">
        <f t="shared" si="1"/>
        <v>0</v>
      </c>
      <c r="L19" s="50">
        <f>SUM('Данные Заявителя'!C152:C154)</f>
        <v>0</v>
      </c>
      <c r="M19" s="50">
        <f>SUM('Данные Заявителя'!C155:C157)</f>
        <v>0</v>
      </c>
      <c r="N19" s="50">
        <f>SUM('Данные Заявителя'!C158:C160)</f>
        <v>0</v>
      </c>
      <c r="O19" s="50">
        <f>SUM('Данные Заявителя'!C161:C163)</f>
        <v>0</v>
      </c>
      <c r="P19" s="47">
        <f t="shared" si="2"/>
        <v>0</v>
      </c>
      <c r="Q19" s="47">
        <f t="shared" si="3"/>
        <v>0</v>
      </c>
    </row>
    <row r="20" spans="1:17" s="55" customFormat="1" ht="15.75" x14ac:dyDescent="0.25">
      <c r="A20" s="53" t="s">
        <v>133</v>
      </c>
      <c r="B20" s="54">
        <f>SUM(B12:B19,B5:B9)</f>
        <v>428222</v>
      </c>
      <c r="C20" s="54">
        <f t="shared" ref="C20:E20" si="11">SUM(C12:C19,C5:C9)</f>
        <v>791774</v>
      </c>
      <c r="D20" s="54">
        <f t="shared" si="11"/>
        <v>1024512</v>
      </c>
      <c r="E20" s="54">
        <f t="shared" si="11"/>
        <v>1148262</v>
      </c>
      <c r="F20" s="47">
        <f t="shared" si="0"/>
        <v>3392770</v>
      </c>
      <c r="G20" s="54">
        <f>SUM(G12:G19,G5:G9)</f>
        <v>1310616.48</v>
      </c>
      <c r="H20" s="54">
        <f t="shared" ref="H20" si="12">SUM(H12:H19,H5:H9)</f>
        <v>1310616.48</v>
      </c>
      <c r="I20" s="54">
        <f t="shared" ref="I20" si="13">SUM(I12:I19,I5:I9)</f>
        <v>1398066.48</v>
      </c>
      <c r="J20" s="54">
        <f t="shared" ref="J20" si="14">SUM(J12:J19,J5:J9)</f>
        <v>1441791.48</v>
      </c>
      <c r="K20" s="47">
        <f t="shared" si="1"/>
        <v>5461090.9199999999</v>
      </c>
      <c r="L20" s="54">
        <f>SUM(L12:L19,L5:L9)</f>
        <v>1517404.6392000001</v>
      </c>
      <c r="M20" s="54">
        <f t="shared" ref="M20" si="15">SUM(M12:M19,M5:M9)</f>
        <v>1517404.6392000001</v>
      </c>
      <c r="N20" s="54">
        <f t="shared" ref="N20" si="16">SUM(N12:N19,N5:N9)</f>
        <v>1656450.1392000001</v>
      </c>
      <c r="O20" s="54">
        <f t="shared" ref="O20" si="17">SUM(O12:O19,O5:O9)</f>
        <v>1656450.1392000001</v>
      </c>
      <c r="P20" s="47">
        <f t="shared" si="2"/>
        <v>6347709.5568000004</v>
      </c>
      <c r="Q20" s="47">
        <f t="shared" si="3"/>
        <v>15201570.4768</v>
      </c>
    </row>
    <row r="22" spans="1:17" x14ac:dyDescent="0.25">
      <c r="A22" s="33" t="s">
        <v>215</v>
      </c>
    </row>
    <row r="23" spans="1:17" x14ac:dyDescent="0.25">
      <c r="A23" s="230" t="s">
        <v>127</v>
      </c>
      <c r="B23" s="227" t="s">
        <v>101</v>
      </c>
      <c r="C23" s="227"/>
      <c r="D23" s="227"/>
      <c r="E23" s="227"/>
      <c r="F23" s="230" t="s">
        <v>102</v>
      </c>
      <c r="G23" s="227" t="s">
        <v>103</v>
      </c>
      <c r="H23" s="227"/>
      <c r="I23" s="227"/>
      <c r="J23" s="227"/>
      <c r="K23" s="230" t="s">
        <v>105</v>
      </c>
      <c r="L23" s="227" t="s">
        <v>104</v>
      </c>
      <c r="M23" s="227"/>
      <c r="N23" s="227"/>
      <c r="O23" s="227"/>
      <c r="P23" s="230" t="s">
        <v>106</v>
      </c>
      <c r="Q23" s="230" t="s">
        <v>107</v>
      </c>
    </row>
    <row r="24" spans="1:17" x14ac:dyDescent="0.25">
      <c r="A24" s="230"/>
      <c r="B24" s="37" t="s">
        <v>97</v>
      </c>
      <c r="C24" s="37" t="s">
        <v>98</v>
      </c>
      <c r="D24" s="37" t="s">
        <v>99</v>
      </c>
      <c r="E24" s="37" t="s">
        <v>100</v>
      </c>
      <c r="F24" s="230"/>
      <c r="G24" s="37" t="s">
        <v>97</v>
      </c>
      <c r="H24" s="37" t="s">
        <v>98</v>
      </c>
      <c r="I24" s="37" t="s">
        <v>99</v>
      </c>
      <c r="J24" s="37" t="s">
        <v>100</v>
      </c>
      <c r="K24" s="230"/>
      <c r="L24" s="37" t="s">
        <v>97</v>
      </c>
      <c r="M24" s="37" t="s">
        <v>98</v>
      </c>
      <c r="N24" s="37" t="s">
        <v>99</v>
      </c>
      <c r="O24" s="37" t="s">
        <v>100</v>
      </c>
      <c r="P24" s="230"/>
      <c r="Q24" s="230"/>
    </row>
    <row r="25" spans="1:17" x14ac:dyDescent="0.25">
      <c r="A25" s="35" t="str">
        <f>'Данные Заявителя'!A35</f>
        <v>Блоки управления УД-БУ11</v>
      </c>
      <c r="B25" s="56">
        <f>'Данные Заявителя'!$B35*SUM('Данные Заявителя'!C35:E35)</f>
        <v>80000</v>
      </c>
      <c r="C25" s="56">
        <f>'Данные Заявителя'!$B35*SUM('Данные Заявителя'!F35:H35)</f>
        <v>240000</v>
      </c>
      <c r="D25" s="56">
        <f>'Данные Заявителя'!$B35*SUM('Данные Заявителя'!I35:K35)</f>
        <v>280000</v>
      </c>
      <c r="E25" s="56">
        <f>'Данные Заявителя'!$B35*SUM('Данные Заявителя'!L35:N35)</f>
        <v>400000</v>
      </c>
      <c r="F25" s="57">
        <f>SUM(B25:E25)</f>
        <v>1000000</v>
      </c>
      <c r="G25" s="56">
        <f>'Данные Заявителя'!$B35*SUM('Данные Заявителя'!O35:Q35)*(1+'Данные Заявителя'!$B$6)</f>
        <v>508800</v>
      </c>
      <c r="H25" s="56">
        <f>'Данные Заявителя'!$B35*SUM('Данные Заявителя'!R35:T35)*(1+'Данные Заявителя'!$B$6)</f>
        <v>508800</v>
      </c>
      <c r="I25" s="56">
        <f>'Данные Заявителя'!$B35*SUM('Данные Заявителя'!U35:W35)*(1+'Данные Заявителя'!$B$6)</f>
        <v>593600</v>
      </c>
      <c r="J25" s="56">
        <f>'Данные Заявителя'!$B35*SUM('Данные Заявителя'!X35:Z35)*(1+'Данные Заявителя'!$B$6)</f>
        <v>636000</v>
      </c>
      <c r="K25" s="57">
        <f>SUM(G25:J25)</f>
        <v>2247200</v>
      </c>
      <c r="L25" s="56">
        <f>'Данные Заявителя'!$B35*SUM('Данные Заявителя'!AA35:AC35)*(1+'Данные Заявителя'!$B$6)*(1+'Данные Заявителя'!$B$6)</f>
        <v>674160</v>
      </c>
      <c r="M25" s="56">
        <f>'Данные Заявителя'!$B35*SUM('Данные Заявителя'!AD35:AF35)*(1+'Данные Заявителя'!$B$6)*(1+'Данные Заявителя'!$B$6)</f>
        <v>674160</v>
      </c>
      <c r="N25" s="56">
        <f>'Данные Заявителя'!$B35*SUM('Данные Заявителя'!AG35:AI35)*(1+'Данные Заявителя'!$B$6)*(1+'Данные Заявителя'!$B$6)</f>
        <v>808992</v>
      </c>
      <c r="O25" s="56">
        <f>'Данные Заявителя'!$B35*SUM('Данные Заявителя'!AJ35:AL35)*(1+'Данные Заявителя'!$B$6)*(1+'Данные Заявителя'!$B$6)</f>
        <v>808992</v>
      </c>
      <c r="P25" s="57">
        <f>SUM(L25:O25)</f>
        <v>2966304</v>
      </c>
      <c r="Q25" s="58">
        <f>F25+K25+P25</f>
        <v>6213504</v>
      </c>
    </row>
    <row r="26" spans="1:17" x14ac:dyDescent="0.25">
      <c r="A26" s="35" t="str">
        <f>'Данные Заявителя'!A36</f>
        <v>Блок коммутации УД-БК11</v>
      </c>
      <c r="B26" s="56">
        <f>'Данные Заявителя'!$B36*SUM('Данные Заявителя'!C36:E36)</f>
        <v>0</v>
      </c>
      <c r="C26" s="56">
        <f>'Данные Заявителя'!$B36*SUM('Данные Заявителя'!F36:H36)</f>
        <v>270000</v>
      </c>
      <c r="D26" s="56">
        <f>'Данные Заявителя'!$B36*SUM('Данные Заявителя'!I36:K36)</f>
        <v>315000</v>
      </c>
      <c r="E26" s="56">
        <f>'Данные Заявителя'!$B36*SUM('Данные Заявителя'!L36:N36)</f>
        <v>450000</v>
      </c>
      <c r="F26" s="57">
        <f t="shared" ref="F26:F30" si="18">SUM(B26:E26)</f>
        <v>1035000</v>
      </c>
      <c r="G26" s="56">
        <f>'Данные Заявителя'!$B36*SUM('Данные Заявителя'!O36:Q36)*(1+'Данные Заявителя'!$B$6)</f>
        <v>572400</v>
      </c>
      <c r="H26" s="56">
        <f>'Данные Заявителя'!$B36*SUM('Данные Заявителя'!R36:T36)*(1+'Данные Заявителя'!$B$6)</f>
        <v>572400</v>
      </c>
      <c r="I26" s="56">
        <f>'Данные Заявителя'!$B36*SUM('Данные Заявителя'!U36:W36)*(1+'Данные Заявителя'!$B$6)</f>
        <v>667800</v>
      </c>
      <c r="J26" s="56">
        <f>'Данные Заявителя'!$B36*SUM('Данные Заявителя'!X36:Z36)*(1+'Данные Заявителя'!$B$6)</f>
        <v>715500</v>
      </c>
      <c r="K26" s="57">
        <f t="shared" ref="K26:K30" si="19">SUM(G26:J26)</f>
        <v>2528100</v>
      </c>
      <c r="L26" s="56">
        <f>'Данные Заявителя'!$B36*SUM('Данные Заявителя'!AA36:AC36)*(1+'Данные Заявителя'!$B$6)*(1+'Данные Заявителя'!$B$6)</f>
        <v>758430</v>
      </c>
      <c r="M26" s="56">
        <f>'Данные Заявителя'!$B36*SUM('Данные Заявителя'!AD36:AF36)*(1+'Данные Заявителя'!$B$6)*(1+'Данные Заявителя'!$B$6)</f>
        <v>758430</v>
      </c>
      <c r="N26" s="56">
        <f>'Данные Заявителя'!$B36*SUM('Данные Заявителя'!AG36:AI36)*(1+'Данные Заявителя'!$B$6)*(1+'Данные Заявителя'!$B$6)</f>
        <v>910116</v>
      </c>
      <c r="O26" s="56">
        <f>'Данные Заявителя'!$B36*SUM('Данные Заявителя'!AJ36:AL36)*(1+'Данные Заявителя'!$B$6)*(1+'Данные Заявителя'!$B$6)</f>
        <v>910116</v>
      </c>
      <c r="P26" s="57">
        <f t="shared" ref="P26:P30" si="20">SUM(L26:O26)</f>
        <v>3337092</v>
      </c>
      <c r="Q26" s="58">
        <f t="shared" ref="Q26:Q30" si="21">F26+K26+P26</f>
        <v>6900192</v>
      </c>
    </row>
    <row r="27" spans="1:17" x14ac:dyDescent="0.25">
      <c r="A27" s="35" t="str">
        <f>'Данные Заявителя'!A37</f>
        <v>Блок  согласования УД- БС11</v>
      </c>
      <c r="B27" s="56">
        <f>'Данные Заявителя'!$B37*SUM('Данные Заявителя'!C37:E37)</f>
        <v>0</v>
      </c>
      <c r="C27" s="56">
        <f>'Данные Заявителя'!$B37*SUM('Данные Заявителя'!F37:H37)</f>
        <v>240000</v>
      </c>
      <c r="D27" s="56">
        <f>'Данные Заявителя'!$B37*SUM('Данные Заявителя'!I37:K37)</f>
        <v>280000</v>
      </c>
      <c r="E27" s="56">
        <f>'Данные Заявителя'!$B37*SUM('Данные Заявителя'!L37:N37)</f>
        <v>400000</v>
      </c>
      <c r="F27" s="57">
        <f t="shared" si="18"/>
        <v>920000</v>
      </c>
      <c r="G27" s="56">
        <f>'Данные Заявителя'!$B37*SUM('Данные Заявителя'!O37:Q37)*(1+'Данные Заявителя'!$B$6)</f>
        <v>508800</v>
      </c>
      <c r="H27" s="56">
        <f>'Данные Заявителя'!$B37*SUM('Данные Заявителя'!R37:T37)*(1+'Данные Заявителя'!$B$6)</f>
        <v>508800</v>
      </c>
      <c r="I27" s="56">
        <f>'Данные Заявителя'!$B37*SUM('Данные Заявителя'!U37:W37)*(1+'Данные Заявителя'!$B$6)</f>
        <v>593600</v>
      </c>
      <c r="J27" s="56">
        <f>'Данные Заявителя'!$B37*SUM('Данные Заявителя'!X37:Z37)*(1+'Данные Заявителя'!$B$6)</f>
        <v>636000</v>
      </c>
      <c r="K27" s="57">
        <f t="shared" si="19"/>
        <v>2247200</v>
      </c>
      <c r="L27" s="56">
        <f>'Данные Заявителя'!$B37*SUM('Данные Заявителя'!AA37:AC37)*(1+'Данные Заявителя'!$B$6)*(1+'Данные Заявителя'!$B$6)</f>
        <v>674160</v>
      </c>
      <c r="M27" s="56">
        <f>'Данные Заявителя'!$B37*SUM('Данные Заявителя'!AD37:AF37)*(1+'Данные Заявителя'!$B$6)*(1+'Данные Заявителя'!$B$6)</f>
        <v>674160</v>
      </c>
      <c r="N27" s="56">
        <f>'Данные Заявителя'!$B37*SUM('Данные Заявителя'!AG37:AI37)*(1+'Данные Заявителя'!$B$6)*(1+'Данные Заявителя'!$B$6)</f>
        <v>808992</v>
      </c>
      <c r="O27" s="56">
        <f>'Данные Заявителя'!$B37*SUM('Данные Заявителя'!AJ37:AL37)*(1+'Данные Заявителя'!$B$6)*(1+'Данные Заявителя'!$B$6)</f>
        <v>808992</v>
      </c>
      <c r="P27" s="57">
        <f t="shared" si="20"/>
        <v>2966304</v>
      </c>
      <c r="Q27" s="58">
        <f t="shared" si="21"/>
        <v>6133504</v>
      </c>
    </row>
    <row r="28" spans="1:17" x14ac:dyDescent="0.25">
      <c r="A28" s="35" t="str">
        <f>'Данные Заявителя'!A38</f>
        <v xml:space="preserve">Контроллеры УД-К11 </v>
      </c>
      <c r="B28" s="56">
        <f>'Данные Заявителя'!$B38*SUM('Данные Заявителя'!C38:E38)</f>
        <v>0</v>
      </c>
      <c r="C28" s="56">
        <f>'Данные Заявителя'!$B38*SUM('Данные Заявителя'!F38:H38)</f>
        <v>195000</v>
      </c>
      <c r="D28" s="56">
        <f>'Данные Заявителя'!$B38*SUM('Данные Заявителя'!I38:K38)</f>
        <v>227500</v>
      </c>
      <c r="E28" s="56">
        <f>'Данные Заявителя'!$B38*SUM('Данные Заявителя'!L38:N38)</f>
        <v>325000</v>
      </c>
      <c r="F28" s="57">
        <f t="shared" si="18"/>
        <v>747500</v>
      </c>
      <c r="G28" s="56">
        <f>'Данные Заявителя'!$B38*SUM('Данные Заявителя'!O38:Q38)*(1+'Данные Заявителя'!$B$6)</f>
        <v>413400</v>
      </c>
      <c r="H28" s="56">
        <f>'Данные Заявителя'!$B38*SUM('Данные Заявителя'!R38:T38)*(1+'Данные Заявителя'!$B$6)</f>
        <v>413400</v>
      </c>
      <c r="I28" s="56">
        <f>'Данные Заявителя'!$B38*SUM('Данные Заявителя'!U38:W38)*(1+'Данные Заявителя'!$B$6)</f>
        <v>482300</v>
      </c>
      <c r="J28" s="56">
        <f>'Данные Заявителя'!$B38*SUM('Данные Заявителя'!X38:Z38)*(1+'Данные Заявителя'!$B$6)</f>
        <v>516750</v>
      </c>
      <c r="K28" s="57">
        <f t="shared" si="19"/>
        <v>1825850</v>
      </c>
      <c r="L28" s="56">
        <f>'Данные Заявителя'!$B38*SUM('Данные Заявителя'!AA38:AC38)*(1+'Данные Заявителя'!$B$6)*(1+'Данные Заявителя'!$B$6)</f>
        <v>547755</v>
      </c>
      <c r="M28" s="56">
        <f>'Данные Заявителя'!$B38*SUM('Данные Заявителя'!AD38:AF38)*(1+'Данные Заявителя'!$B$6)*(1+'Данные Заявителя'!$B$6)</f>
        <v>547755</v>
      </c>
      <c r="N28" s="56">
        <f>'Данные Заявителя'!$B38*SUM('Данные Заявителя'!AG38:AI38)*(1+'Данные Заявителя'!$B$6)*(1+'Данные Заявителя'!$B$6)</f>
        <v>657306</v>
      </c>
      <c r="O28" s="56">
        <f>'Данные Заявителя'!$B38*SUM('Данные Заявителя'!AJ38:AL38)*(1+'Данные Заявителя'!$B$6)*(1+'Данные Заявителя'!$B$6)</f>
        <v>657306</v>
      </c>
      <c r="P28" s="57">
        <f t="shared" si="20"/>
        <v>2410122</v>
      </c>
      <c r="Q28" s="58">
        <f t="shared" si="21"/>
        <v>4983472</v>
      </c>
    </row>
    <row r="29" spans="1:17" x14ac:dyDescent="0.25">
      <c r="A29" s="35" t="str">
        <f>'Данные Заявителя'!A39</f>
        <v xml:space="preserve">Датчики УД-Д11 </v>
      </c>
      <c r="B29" s="56">
        <f>'Данные Заявителя'!$B39*SUM('Данные Заявителя'!C39:E39)</f>
        <v>0</v>
      </c>
      <c r="C29" s="56">
        <f>'Данные Заявителя'!$B39*SUM('Данные Заявителя'!F39:H39)</f>
        <v>9000</v>
      </c>
      <c r="D29" s="56">
        <f>'Данные Заявителя'!$B39*SUM('Данные Заявителя'!I39:K39)</f>
        <v>10500</v>
      </c>
      <c r="E29" s="56">
        <f>'Данные Заявителя'!$B39*SUM('Данные Заявителя'!L39:N39)</f>
        <v>15000</v>
      </c>
      <c r="F29" s="57">
        <f t="shared" si="18"/>
        <v>34500</v>
      </c>
      <c r="G29" s="56">
        <f>'Данные Заявителя'!$B39*SUM('Данные Заявителя'!O39:Q39)*(1+'Данные Заявителя'!$B$6)</f>
        <v>19080</v>
      </c>
      <c r="H29" s="56">
        <f>'Данные Заявителя'!$B39*SUM('Данные Заявителя'!R39:T39)*(1+'Данные Заявителя'!$B$6)</f>
        <v>19080</v>
      </c>
      <c r="I29" s="56">
        <f>'Данные Заявителя'!$B39*SUM('Данные Заявителя'!U39:W39)*(1+'Данные Заявителя'!$B$6)</f>
        <v>22260</v>
      </c>
      <c r="J29" s="56">
        <f>'Данные Заявителя'!$B39*SUM('Данные Заявителя'!X39:Z39)*(1+'Данные Заявителя'!$B$6)</f>
        <v>23850</v>
      </c>
      <c r="K29" s="57">
        <f t="shared" si="19"/>
        <v>84270</v>
      </c>
      <c r="L29" s="56">
        <f>'Данные Заявителя'!$B39*SUM('Данные Заявителя'!AA39:AC39)*(1+'Данные Заявителя'!$B$6)*(1+'Данные Заявителя'!$B$6)</f>
        <v>25281</v>
      </c>
      <c r="M29" s="56">
        <f>'Данные Заявителя'!$B39*SUM('Данные Заявителя'!AD39:AF39)*(1+'Данные Заявителя'!$B$6)*(1+'Данные Заявителя'!$B$6)</f>
        <v>25281</v>
      </c>
      <c r="N29" s="56">
        <f>'Данные Заявителя'!$B39*SUM('Данные Заявителя'!AG39:AI39)*(1+'Данные Заявителя'!$B$6)*(1+'Данные Заявителя'!$B$6)</f>
        <v>30337.200000000001</v>
      </c>
      <c r="O29" s="56">
        <f>'Данные Заявителя'!$B39*SUM('Данные Заявителя'!AJ39:AL39)*(1+'Данные Заявителя'!$B$6)*(1+'Данные Заявителя'!$B$6)</f>
        <v>30337.200000000001</v>
      </c>
      <c r="P29" s="57">
        <f t="shared" si="20"/>
        <v>111236.4</v>
      </c>
      <c r="Q29" s="58">
        <f t="shared" si="21"/>
        <v>230006.39999999999</v>
      </c>
    </row>
    <row r="30" spans="1:17" s="55" customFormat="1" x14ac:dyDescent="0.25">
      <c r="A30" s="59" t="s">
        <v>128</v>
      </c>
      <c r="B30" s="60">
        <f>SUM(B25:B29)</f>
        <v>80000</v>
      </c>
      <c r="C30" s="60">
        <f t="shared" ref="C30:E30" si="22">SUM(C25:C29)</f>
        <v>954000</v>
      </c>
      <c r="D30" s="60">
        <f t="shared" si="22"/>
        <v>1113000</v>
      </c>
      <c r="E30" s="60">
        <f t="shared" si="22"/>
        <v>1590000</v>
      </c>
      <c r="F30" s="57">
        <f t="shared" si="18"/>
        <v>3737000</v>
      </c>
      <c r="G30" s="60">
        <f>SUM(G25:G29)</f>
        <v>2022480</v>
      </c>
      <c r="H30" s="60">
        <f t="shared" ref="H30" si="23">SUM(H25:H29)</f>
        <v>2022480</v>
      </c>
      <c r="I30" s="60">
        <f t="shared" ref="I30" si="24">SUM(I25:I29)</f>
        <v>2359560</v>
      </c>
      <c r="J30" s="60">
        <f t="shared" ref="J30" si="25">SUM(J25:J29)</f>
        <v>2528100</v>
      </c>
      <c r="K30" s="57">
        <f t="shared" si="19"/>
        <v>8932620</v>
      </c>
      <c r="L30" s="60">
        <f>SUM(L25:L29)</f>
        <v>2679786</v>
      </c>
      <c r="M30" s="60">
        <f t="shared" ref="M30" si="26">SUM(M25:M29)</f>
        <v>2679786</v>
      </c>
      <c r="N30" s="60">
        <f t="shared" ref="N30" si="27">SUM(N25:N29)</f>
        <v>3215743.2</v>
      </c>
      <c r="O30" s="60">
        <f t="shared" ref="O30" si="28">SUM(O25:O29)</f>
        <v>3215743.2</v>
      </c>
      <c r="P30" s="57">
        <f t="shared" si="20"/>
        <v>11791058.399999999</v>
      </c>
      <c r="Q30" s="58">
        <f t="shared" si="21"/>
        <v>24460678.399999999</v>
      </c>
    </row>
    <row r="33" spans="1:17" x14ac:dyDescent="0.25">
      <c r="A33" s="33" t="s">
        <v>210</v>
      </c>
    </row>
    <row r="34" spans="1:17" x14ac:dyDescent="0.25">
      <c r="A34" s="223" t="s">
        <v>135</v>
      </c>
      <c r="B34" s="227" t="s">
        <v>101</v>
      </c>
      <c r="C34" s="227"/>
      <c r="D34" s="227"/>
      <c r="E34" s="227"/>
      <c r="F34" s="230" t="s">
        <v>102</v>
      </c>
      <c r="G34" s="227" t="s">
        <v>103</v>
      </c>
      <c r="H34" s="227"/>
      <c r="I34" s="227"/>
      <c r="J34" s="227"/>
      <c r="K34" s="230" t="s">
        <v>105</v>
      </c>
      <c r="L34" s="227" t="s">
        <v>104</v>
      </c>
      <c r="M34" s="227"/>
      <c r="N34" s="227"/>
      <c r="O34" s="227"/>
      <c r="P34" s="230" t="s">
        <v>106</v>
      </c>
      <c r="Q34" s="230" t="s">
        <v>107</v>
      </c>
    </row>
    <row r="35" spans="1:17" x14ac:dyDescent="0.25">
      <c r="A35" s="224"/>
      <c r="B35" s="37" t="s">
        <v>97</v>
      </c>
      <c r="C35" s="37" t="s">
        <v>98</v>
      </c>
      <c r="D35" s="37" t="s">
        <v>99</v>
      </c>
      <c r="E35" s="37" t="s">
        <v>100</v>
      </c>
      <c r="F35" s="230"/>
      <c r="G35" s="37" t="s">
        <v>97</v>
      </c>
      <c r="H35" s="37" t="s">
        <v>98</v>
      </c>
      <c r="I35" s="37" t="s">
        <v>99</v>
      </c>
      <c r="J35" s="37" t="s">
        <v>100</v>
      </c>
      <c r="K35" s="230"/>
      <c r="L35" s="37" t="s">
        <v>97</v>
      </c>
      <c r="M35" s="37" t="s">
        <v>98</v>
      </c>
      <c r="N35" s="37" t="s">
        <v>99</v>
      </c>
      <c r="O35" s="37" t="s">
        <v>100</v>
      </c>
      <c r="P35" s="230"/>
      <c r="Q35" s="230"/>
    </row>
    <row r="36" spans="1:17" s="55" customFormat="1" x14ac:dyDescent="0.25">
      <c r="A36" s="61" t="s">
        <v>108</v>
      </c>
      <c r="B36" s="62">
        <f>('Данные Заявителя'!$B$35*SUM('Данные Заявителя'!C35:E35)+'Данные Заявителя'!$B$36*SUM('Данные Заявителя'!C36:E36)+'Данные Заявителя'!$B$37*SUM('Данные Заявителя'!C37:E37)+'Данные Заявителя'!$B$38*SUM('Данные Заявителя'!C38:E38)+'Данные Заявителя'!$B$39*SUM('Данные Заявителя'!C39:E39))/1000</f>
        <v>80</v>
      </c>
      <c r="C36" s="62">
        <f>('Данные Заявителя'!$B$35*SUM('Данные Заявителя'!F35:H35)+'Данные Заявителя'!$B$36*SUM('Данные Заявителя'!F36:H36)+'Данные Заявителя'!$B$37*SUM('Данные Заявителя'!F37:H37)+'Данные Заявителя'!$B$38*SUM('Данные Заявителя'!F38:H38)+'Данные Заявителя'!$B$39*SUM('Данные Заявителя'!F39:H39))/1000</f>
        <v>954</v>
      </c>
      <c r="D36" s="62">
        <f>('Данные Заявителя'!$B$35*SUM('Данные Заявителя'!I35:K35)+'Данные Заявителя'!$B$36*SUM('Данные Заявителя'!I36:K36)+'Данные Заявителя'!$B$37*SUM('Данные Заявителя'!I37:K37)+'Данные Заявителя'!$B$38*SUM('Данные Заявителя'!I38:K38)+'Данные Заявителя'!$B$39*SUM('Данные Заявителя'!I39:K39))/1000</f>
        <v>1113</v>
      </c>
      <c r="E36" s="62">
        <f>('Данные Заявителя'!$B$35*SUM('Данные Заявителя'!L35:N35)+'Данные Заявителя'!$B$36*SUM('Данные Заявителя'!L36:N36)+'Данные Заявителя'!$B$37*SUM('Данные Заявителя'!L37:N37)+'Данные Заявителя'!$B$38*SUM('Данные Заявителя'!L38:N38)+'Данные Заявителя'!$B$39*SUM('Данные Заявителя'!L39:N39))/1000</f>
        <v>1590</v>
      </c>
      <c r="F36" s="62">
        <f>SUM(B36:E36)</f>
        <v>3737</v>
      </c>
      <c r="G36" s="62">
        <f>('Данные Заявителя'!$B$35*SUM('Данные Заявителя'!O35:Q35)+'Данные Заявителя'!$B$36*SUM('Данные Заявителя'!O36:Q36)+'Данные Заявителя'!$B$37*SUM('Данные Заявителя'!O37:Q37)+'Данные Заявителя'!$B$38*SUM('Данные Заявителя'!O38:Q38)+'Данные Заявителя'!$B$39*SUM('Данные Заявителя'!O39:Q39))*(1+'Данные Заявителя'!B6)/1000</f>
        <v>2022.48</v>
      </c>
      <c r="H36" s="62">
        <f>('Данные Заявителя'!$B$35*SUM('Данные Заявителя'!R35:T35)+'Данные Заявителя'!$B$36*SUM('Данные Заявителя'!R36:T36)+'Данные Заявителя'!$B$37*SUM('Данные Заявителя'!R37:T37)+'Данные Заявителя'!$B$38*SUM('Данные Заявителя'!R38:T38)+'Данные Заявителя'!$B$39*SUM('Данные Заявителя'!R39:T39))*(1+'Данные Заявителя'!B6)/1000</f>
        <v>2022.48</v>
      </c>
      <c r="I36" s="62">
        <f>('Данные Заявителя'!$B$35*SUM('Данные Заявителя'!U35:W35)+'Данные Заявителя'!$B$36*SUM('Данные Заявителя'!U36:W36)+'Данные Заявителя'!$B$37*SUM('Данные Заявителя'!U37:W37)+'Данные Заявителя'!$B$38*SUM('Данные Заявителя'!U38:W38)+'Данные Заявителя'!$B$39*SUM('Данные Заявителя'!U39:W39))*(1+'Данные Заявителя'!B6)/1000</f>
        <v>2359.56</v>
      </c>
      <c r="J36" s="62">
        <f>('Данные Заявителя'!$B$35*SUM('Данные Заявителя'!X35:Z35)+'Данные Заявителя'!$B$36*SUM('Данные Заявителя'!X36:Z36)+'Данные Заявителя'!$B$37*SUM('Данные Заявителя'!X37:Z37)+'Данные Заявителя'!$B$38*SUM('Данные Заявителя'!X38:Z38)+'Данные Заявителя'!$B$39*SUM('Данные Заявителя'!X39:Z39))*(1+'Данные Заявителя'!B6)/1000</f>
        <v>2528.1</v>
      </c>
      <c r="K36" s="62">
        <f>SUM(G36:J36)</f>
        <v>8932.6200000000008</v>
      </c>
      <c r="L36" s="62">
        <f>('Данные Заявителя'!$B$35*SUM('Данные Заявителя'!AA35:AC35)+'Данные Заявителя'!$B$36*SUM('Данные Заявителя'!AA36:AC36)+'Данные Заявителя'!$B$37*SUM('Данные Заявителя'!AA37:AC37)+'Данные Заявителя'!$B$38*SUM('Данные Заявителя'!AA38:AC38)+'Данные Заявителя'!$B$39*SUM('Данные Заявителя'!AA39:AC39))*(1+'Данные Заявителя'!B6)*(1+'Данные Заявителя'!B6)/1000</f>
        <v>2679.7860000000001</v>
      </c>
      <c r="M36" s="62">
        <f>('Данные Заявителя'!$B$35*SUM('Данные Заявителя'!AD35:AF35)+'Данные Заявителя'!$B$36*SUM('Данные Заявителя'!AD36:AF36)+'Данные Заявителя'!$B$37*SUM('Данные Заявителя'!AD37:AF37)+'Данные Заявителя'!$B$38*SUM('Данные Заявителя'!AD38:AF38)+'Данные Заявителя'!$B$39*SUM('Данные Заявителя'!AD39:AF39))*(1+'Данные Заявителя'!B6)*(1+'Данные Заявителя'!B6)/1000</f>
        <v>2679.7860000000001</v>
      </c>
      <c r="N36" s="62">
        <f>('Данные Заявителя'!$B$35*SUM('Данные Заявителя'!AG35:AI35)+'Данные Заявителя'!$B$36*SUM('Данные Заявителя'!AG36:AI36)+'Данные Заявителя'!$B$37*SUM('Данные Заявителя'!AG37:AI37)+'Данные Заявителя'!$B$38*SUM('Данные Заявителя'!AG38:AI38)+'Данные Заявителя'!$B$39*SUM('Данные Заявителя'!AG39:AI39))*(1+'Данные Заявителя'!B6)*(1+'Данные Заявителя'!B6)/1000</f>
        <v>3215.7432000000003</v>
      </c>
      <c r="O36" s="62">
        <f>('Данные Заявителя'!$B$35*SUM('Данные Заявителя'!AJ35:AL35)+'Данные Заявителя'!$B$36*SUM('Данные Заявителя'!AJ36:AL36)+'Данные Заявителя'!$B$37*SUM('Данные Заявителя'!AJ37:AL37)+'Данные Заявителя'!$B$38*SUM('Данные Заявителя'!AJ38:AL38)+'Данные Заявителя'!$B$39*SUM('Данные Заявителя'!AJ39:AL39))*(1+'Данные Заявителя'!B6)*(1+'Данные Заявителя'!B6)/1000</f>
        <v>3215.7432000000003</v>
      </c>
      <c r="P36" s="62">
        <f>SUM(L36:O36)</f>
        <v>11791.058400000002</v>
      </c>
      <c r="Q36" s="63">
        <f>F36+K36+P36</f>
        <v>24460.678400000004</v>
      </c>
    </row>
    <row r="37" spans="1:17" ht="4.5" customHeight="1" x14ac:dyDescent="0.25">
      <c r="A37" s="64"/>
      <c r="B37" s="65"/>
      <c r="C37" s="65"/>
      <c r="D37" s="65"/>
      <c r="E37" s="65"/>
      <c r="F37" s="66"/>
      <c r="G37" s="65"/>
      <c r="H37" s="65"/>
      <c r="I37" s="65"/>
      <c r="J37" s="65"/>
      <c r="K37" s="66"/>
      <c r="L37" s="67"/>
      <c r="M37" s="68"/>
      <c r="N37" s="68"/>
      <c r="O37" s="68"/>
      <c r="P37" s="69"/>
      <c r="Q37" s="70"/>
    </row>
    <row r="38" spans="1:17" s="55" customFormat="1" x14ac:dyDescent="0.25">
      <c r="A38" s="61" t="s">
        <v>88</v>
      </c>
      <c r="B38" s="62">
        <f>SUM(B39:B43)</f>
        <v>428.22199999999998</v>
      </c>
      <c r="C38" s="62">
        <f>SUM(C39:C43)</f>
        <v>791.774</v>
      </c>
      <c r="D38" s="62">
        <f>SUM(D39:D43)</f>
        <v>1024.5120000000002</v>
      </c>
      <c r="E38" s="62">
        <f>SUM(E39:E43)</f>
        <v>1148.2620000000002</v>
      </c>
      <c r="F38" s="62">
        <f>SUM(B38:E38)</f>
        <v>3392.7700000000004</v>
      </c>
      <c r="G38" s="62">
        <f>SUM(G39:G43)</f>
        <v>1310.6164800000001</v>
      </c>
      <c r="H38" s="62">
        <f>SUM(H39:H43)</f>
        <v>1310.6164800000001</v>
      </c>
      <c r="I38" s="62">
        <f>SUM(I39:I43)</f>
        <v>1398.06648</v>
      </c>
      <c r="J38" s="62">
        <f>SUM(J39:J43)</f>
        <v>1441.7914800000001</v>
      </c>
      <c r="K38" s="62">
        <f>SUM(G38:J38)</f>
        <v>5461.0909200000006</v>
      </c>
      <c r="L38" s="62">
        <f>SUM(L39:L43)</f>
        <v>1517.4046392000005</v>
      </c>
      <c r="M38" s="62">
        <f>SUM(M39:M43)</f>
        <v>1517.4046392000005</v>
      </c>
      <c r="N38" s="62">
        <f>SUM(N39:N43)</f>
        <v>1656.4501392000004</v>
      </c>
      <c r="O38" s="62">
        <f>SUM(O39:O43)</f>
        <v>1656.4501392000004</v>
      </c>
      <c r="P38" s="62">
        <f>SUM(L38:O38)</f>
        <v>6347.7095568000013</v>
      </c>
      <c r="Q38" s="63">
        <f>F38+K38+P38</f>
        <v>15201.570476800003</v>
      </c>
    </row>
    <row r="39" spans="1:17" x14ac:dyDescent="0.25">
      <c r="A39" s="71" t="s">
        <v>89</v>
      </c>
      <c r="B39" s="39">
        <f t="shared" ref="B39:E41" si="29">B6/1000</f>
        <v>261</v>
      </c>
      <c r="C39" s="39">
        <f t="shared" si="29"/>
        <v>387</v>
      </c>
      <c r="D39" s="39">
        <f t="shared" si="29"/>
        <v>531</v>
      </c>
      <c r="E39" s="39">
        <f t="shared" si="29"/>
        <v>531</v>
      </c>
      <c r="F39" s="62">
        <f t="shared" ref="F39:F43" si="30">SUM(B39:E39)</f>
        <v>1710</v>
      </c>
      <c r="G39" s="39">
        <f t="shared" ref="G39:J41" si="31">G6/1000</f>
        <v>552.24</v>
      </c>
      <c r="H39" s="39">
        <f t="shared" si="31"/>
        <v>552.24</v>
      </c>
      <c r="I39" s="39">
        <f t="shared" si="31"/>
        <v>552.24</v>
      </c>
      <c r="J39" s="39">
        <f t="shared" si="31"/>
        <v>552.24</v>
      </c>
      <c r="K39" s="62">
        <f t="shared" ref="K39:K43" si="32">SUM(G39:J39)</f>
        <v>2208.96</v>
      </c>
      <c r="L39" s="39">
        <f t="shared" ref="L39:O41" si="33">L6/1000</f>
        <v>574.32960000000014</v>
      </c>
      <c r="M39" s="39">
        <f t="shared" si="33"/>
        <v>574.32960000000014</v>
      </c>
      <c r="N39" s="39">
        <f t="shared" si="33"/>
        <v>574.32960000000014</v>
      </c>
      <c r="O39" s="39">
        <f t="shared" si="33"/>
        <v>574.32960000000014</v>
      </c>
      <c r="P39" s="62">
        <f t="shared" ref="P39:P47" si="34">SUM(L39:O39)</f>
        <v>2297.3184000000006</v>
      </c>
      <c r="Q39" s="63">
        <f t="shared" ref="Q39:Q47" si="35">F39+K39+P39</f>
        <v>6216.2784000000011</v>
      </c>
    </row>
    <row r="40" spans="1:17" x14ac:dyDescent="0.25">
      <c r="A40" s="71" t="s">
        <v>90</v>
      </c>
      <c r="B40" s="39">
        <f t="shared" si="29"/>
        <v>78.822000000000017</v>
      </c>
      <c r="C40" s="39">
        <f t="shared" si="29"/>
        <v>116.87400000000001</v>
      </c>
      <c r="D40" s="39">
        <f t="shared" si="29"/>
        <v>160.36200000000002</v>
      </c>
      <c r="E40" s="39">
        <f t="shared" si="29"/>
        <v>160.36200000000002</v>
      </c>
      <c r="F40" s="62">
        <f t="shared" si="30"/>
        <v>516.42000000000007</v>
      </c>
      <c r="G40" s="39">
        <f t="shared" si="31"/>
        <v>166.77648000000005</v>
      </c>
      <c r="H40" s="39">
        <f t="shared" si="31"/>
        <v>166.77648000000005</v>
      </c>
      <c r="I40" s="39">
        <f t="shared" si="31"/>
        <v>166.77648000000005</v>
      </c>
      <c r="J40" s="39">
        <f t="shared" si="31"/>
        <v>166.77648000000005</v>
      </c>
      <c r="K40" s="62">
        <f t="shared" si="32"/>
        <v>667.1059200000002</v>
      </c>
      <c r="L40" s="39">
        <f t="shared" si="33"/>
        <v>173.44753920000005</v>
      </c>
      <c r="M40" s="39">
        <f t="shared" si="33"/>
        <v>173.44753920000005</v>
      </c>
      <c r="N40" s="39">
        <f t="shared" si="33"/>
        <v>173.44753920000005</v>
      </c>
      <c r="O40" s="39">
        <f t="shared" si="33"/>
        <v>173.44753920000005</v>
      </c>
      <c r="P40" s="62">
        <f t="shared" si="34"/>
        <v>693.7901568000002</v>
      </c>
      <c r="Q40" s="63">
        <f t="shared" si="35"/>
        <v>1877.3160768000005</v>
      </c>
    </row>
    <row r="41" spans="1:17" x14ac:dyDescent="0.25">
      <c r="A41" s="71" t="s">
        <v>91</v>
      </c>
      <c r="B41" s="39">
        <f t="shared" si="29"/>
        <v>0</v>
      </c>
      <c r="C41" s="39">
        <f t="shared" si="29"/>
        <v>0</v>
      </c>
      <c r="D41" s="39">
        <f t="shared" si="29"/>
        <v>0</v>
      </c>
      <c r="E41" s="39">
        <f t="shared" si="29"/>
        <v>0</v>
      </c>
      <c r="F41" s="62">
        <f t="shared" si="30"/>
        <v>0</v>
      </c>
      <c r="G41" s="39">
        <f t="shared" si="31"/>
        <v>0</v>
      </c>
      <c r="H41" s="39">
        <f t="shared" si="31"/>
        <v>0</v>
      </c>
      <c r="I41" s="39">
        <f t="shared" si="31"/>
        <v>0</v>
      </c>
      <c r="J41" s="39">
        <f t="shared" si="31"/>
        <v>0</v>
      </c>
      <c r="K41" s="62">
        <f t="shared" si="32"/>
        <v>0</v>
      </c>
      <c r="L41" s="39">
        <f t="shared" si="33"/>
        <v>0</v>
      </c>
      <c r="M41" s="39">
        <f t="shared" si="33"/>
        <v>0</v>
      </c>
      <c r="N41" s="39">
        <f t="shared" si="33"/>
        <v>0</v>
      </c>
      <c r="O41" s="39">
        <f t="shared" si="33"/>
        <v>0</v>
      </c>
      <c r="P41" s="62">
        <f t="shared" si="34"/>
        <v>0</v>
      </c>
      <c r="Q41" s="63">
        <f t="shared" si="35"/>
        <v>0</v>
      </c>
    </row>
    <row r="42" spans="1:17" x14ac:dyDescent="0.25">
      <c r="A42" s="71" t="s">
        <v>92</v>
      </c>
      <c r="B42" s="39">
        <f>B5/1000</f>
        <v>20</v>
      </c>
      <c r="C42" s="39">
        <f>C5/1000</f>
        <v>247.5</v>
      </c>
      <c r="D42" s="39">
        <f>D5/1000</f>
        <v>288.75</v>
      </c>
      <c r="E42" s="39">
        <f>E5/1000</f>
        <v>412.5</v>
      </c>
      <c r="F42" s="62">
        <f t="shared" si="30"/>
        <v>968.75</v>
      </c>
      <c r="G42" s="39">
        <f>G5/1000</f>
        <v>524.70000000000005</v>
      </c>
      <c r="H42" s="39">
        <f>H5/1000</f>
        <v>524.70000000000005</v>
      </c>
      <c r="I42" s="39">
        <f>I5/1000</f>
        <v>612.15</v>
      </c>
      <c r="J42" s="39">
        <f>J5/1000</f>
        <v>655.875</v>
      </c>
      <c r="K42" s="62">
        <f t="shared" si="32"/>
        <v>2317.4250000000002</v>
      </c>
      <c r="L42" s="39">
        <f>L5/1000</f>
        <v>695.22750000000008</v>
      </c>
      <c r="M42" s="39">
        <f>M5/1000</f>
        <v>695.22750000000008</v>
      </c>
      <c r="N42" s="39">
        <f>N5/1000</f>
        <v>834.27300000000014</v>
      </c>
      <c r="O42" s="39">
        <f>O5/1000</f>
        <v>834.27300000000014</v>
      </c>
      <c r="P42" s="62">
        <f t="shared" si="34"/>
        <v>3059.0010000000002</v>
      </c>
      <c r="Q42" s="63">
        <f t="shared" si="35"/>
        <v>6345.1760000000004</v>
      </c>
    </row>
    <row r="43" spans="1:17" x14ac:dyDescent="0.25">
      <c r="A43" s="71" t="s">
        <v>93</v>
      </c>
      <c r="B43" s="39">
        <f>SUM(B12:B19,B9)/1000</f>
        <v>68.400000000000006</v>
      </c>
      <c r="C43" s="39">
        <f>SUM(C12:C19,C9)/1000</f>
        <v>40.4</v>
      </c>
      <c r="D43" s="39">
        <f>SUM(D12:D19,D9)/1000</f>
        <v>44.4</v>
      </c>
      <c r="E43" s="39">
        <f>SUM(E12:E19,E9)/1000</f>
        <v>44.4</v>
      </c>
      <c r="F43" s="62">
        <f t="shared" si="30"/>
        <v>197.60000000000002</v>
      </c>
      <c r="G43" s="39">
        <f>SUM(G12:G19,G9)/1000</f>
        <v>66.900000000000006</v>
      </c>
      <c r="H43" s="39">
        <f>SUM(H12:H19,H9)/1000</f>
        <v>66.900000000000006</v>
      </c>
      <c r="I43" s="39">
        <f>SUM(I12:I19,I9)/1000</f>
        <v>66.900000000000006</v>
      </c>
      <c r="J43" s="39">
        <f>SUM(J12:J19,J9)/1000</f>
        <v>66.900000000000006</v>
      </c>
      <c r="K43" s="62">
        <f t="shared" si="32"/>
        <v>267.60000000000002</v>
      </c>
      <c r="L43" s="39">
        <f>SUM(L12:L19,L9)/1000</f>
        <v>74.400000000000006</v>
      </c>
      <c r="M43" s="39">
        <f>SUM(M12:M19,M9)/1000</f>
        <v>74.400000000000006</v>
      </c>
      <c r="N43" s="39">
        <f>SUM(N12:N19,N9)/1000</f>
        <v>74.400000000000006</v>
      </c>
      <c r="O43" s="39">
        <f>SUM(O12:O19,O9)/1000</f>
        <v>74.400000000000006</v>
      </c>
      <c r="P43" s="62">
        <f t="shared" si="34"/>
        <v>297.60000000000002</v>
      </c>
      <c r="Q43" s="63">
        <f t="shared" si="35"/>
        <v>762.80000000000007</v>
      </c>
    </row>
    <row r="44" spans="1:17" ht="4.5" customHeight="1" x14ac:dyDescent="0.25">
      <c r="A44" s="64"/>
      <c r="B44" s="65"/>
      <c r="C44" s="65"/>
      <c r="D44" s="65"/>
      <c r="E44" s="65"/>
      <c r="F44" s="66"/>
      <c r="G44" s="65"/>
      <c r="H44" s="65"/>
      <c r="I44" s="65"/>
      <c r="J44" s="65"/>
      <c r="K44" s="66"/>
      <c r="L44" s="65"/>
      <c r="M44" s="65"/>
      <c r="N44" s="65"/>
      <c r="O44" s="65"/>
      <c r="P44" s="66"/>
      <c r="Q44" s="66"/>
    </row>
    <row r="45" spans="1:17" s="55" customFormat="1" x14ac:dyDescent="0.25">
      <c r="A45" s="61" t="s">
        <v>94</v>
      </c>
      <c r="B45" s="62">
        <f>B36-B38</f>
        <v>-348.22199999999998</v>
      </c>
      <c r="C45" s="62">
        <f t="shared" ref="C45:E45" si="36">C36-C38</f>
        <v>162.226</v>
      </c>
      <c r="D45" s="62">
        <f t="shared" si="36"/>
        <v>88.487999999999829</v>
      </c>
      <c r="E45" s="62">
        <f t="shared" si="36"/>
        <v>441.73799999999983</v>
      </c>
      <c r="F45" s="62">
        <f t="shared" ref="F45:F47" si="37">SUM(B45:E45)</f>
        <v>344.22999999999968</v>
      </c>
      <c r="G45" s="62">
        <f>G36-G38</f>
        <v>711.86351999999988</v>
      </c>
      <c r="H45" s="62">
        <f t="shared" ref="H45:J45" si="38">H36-H38</f>
        <v>711.86351999999988</v>
      </c>
      <c r="I45" s="62">
        <f t="shared" si="38"/>
        <v>961.49351999999999</v>
      </c>
      <c r="J45" s="62">
        <f t="shared" si="38"/>
        <v>1086.3085199999998</v>
      </c>
      <c r="K45" s="62">
        <f t="shared" ref="K45:K47" si="39">SUM(G45:J45)</f>
        <v>3471.5290799999993</v>
      </c>
      <c r="L45" s="62">
        <f>L36-L38</f>
        <v>1162.3813607999996</v>
      </c>
      <c r="M45" s="62">
        <f t="shared" ref="M45:O45" si="40">M36-M38</f>
        <v>1162.3813607999996</v>
      </c>
      <c r="N45" s="62">
        <f t="shared" si="40"/>
        <v>1559.2930607999999</v>
      </c>
      <c r="O45" s="62">
        <f t="shared" si="40"/>
        <v>1559.2930607999999</v>
      </c>
      <c r="P45" s="62">
        <f t="shared" si="34"/>
        <v>5443.3488431999986</v>
      </c>
      <c r="Q45" s="63">
        <f t="shared" si="35"/>
        <v>9259.1079231999975</v>
      </c>
    </row>
    <row r="46" spans="1:17" x14ac:dyDescent="0.25">
      <c r="A46" s="71" t="s">
        <v>95</v>
      </c>
      <c r="B46" s="39">
        <f>IF('Данные Заявителя'!$B$8='Данные Заявителя'!$A$96,'Данные Заявителя'!$F$8/4000,IF('Данные Заявителя'!$B$8='Данные Заявителя'!$A$94,B36*0.06,IF(B45&lt;0,0,IF('Данные Заявителя'!$B$8='Данные Заявителя'!$A$93,B45*0.2,B45*0.15))))</f>
        <v>4.5</v>
      </c>
      <c r="C46" s="39">
        <f>IF('Данные Заявителя'!$B$8='Данные Заявителя'!$A$96,'Данные Заявителя'!$F$8/4000,IF('Данные Заявителя'!$B$8='Данные Заявителя'!$A$94,C36*0.06,IF(C45&lt;0,0,IF('Данные Заявителя'!$B$8='Данные Заявителя'!$A$93,C45*0.2,C45*0.15))))</f>
        <v>4.5</v>
      </c>
      <c r="D46" s="39">
        <f>IF('Данные Заявителя'!$B$8='Данные Заявителя'!$A$96,'Данные Заявителя'!$F$8/4000,IF('Данные Заявителя'!$B$8='Данные Заявителя'!$A$94,D36*0.06,IF(D45&lt;0,0,IF('Данные Заявителя'!$B$8='Данные Заявителя'!$A$93,D45*0.2,D45*0.15))))</f>
        <v>4.5</v>
      </c>
      <c r="E46" s="39">
        <f>IF('Данные Заявителя'!$B$8='Данные Заявителя'!$A$96,'Данные Заявителя'!$F$8/4000,IF('Данные Заявителя'!$B$8='Данные Заявителя'!$A$94,E36*0.06,IF(E45&lt;0,0,IF('Данные Заявителя'!$B$8='Данные Заявителя'!$A$93,E45*0.2,E45*0.15))))</f>
        <v>4.5</v>
      </c>
      <c r="F46" s="62">
        <f t="shared" si="37"/>
        <v>18</v>
      </c>
      <c r="G46" s="39">
        <f>IF('Данные Заявителя'!$B$8='Данные Заявителя'!$A$96,'Данные Заявителя'!$F$8/4000,IF('Данные Заявителя'!$B$8='Данные Заявителя'!$A$94,G36*0.06,IF(G45&lt;0,0,IF('Данные Заявителя'!$B$8='Данные Заявителя'!$A$93,G45*0.2,G45*0.15))))</f>
        <v>4.5</v>
      </c>
      <c r="H46" s="39">
        <f>IF('Данные Заявителя'!$B$8='Данные Заявителя'!$A$96,'Данные Заявителя'!$F$8/4000,IF('Данные Заявителя'!$B$8='Данные Заявителя'!$A$94,H36*0.06,IF(H45&lt;0,0,IF('Данные Заявителя'!$B$8='Данные Заявителя'!$A$93,H45*0.2,H45*0.15))))</f>
        <v>4.5</v>
      </c>
      <c r="I46" s="39">
        <f>IF('Данные Заявителя'!$B$8='Данные Заявителя'!$A$96,'Данные Заявителя'!$F$8/4000,IF('Данные Заявителя'!$B$8='Данные Заявителя'!$A$94,I36*0.06,IF(I45&lt;0,0,IF('Данные Заявителя'!$B$8='Данные Заявителя'!$A$93,I45*0.2,I45*0.15))))</f>
        <v>4.5</v>
      </c>
      <c r="J46" s="39">
        <f>IF('Данные Заявителя'!$B$8='Данные Заявителя'!$A$96,'Данные Заявителя'!$F$8/4000,IF('Данные Заявителя'!$B$8='Данные Заявителя'!$A$94,J36*0.06,IF(J45&lt;0,0,IF('Данные Заявителя'!$B$8='Данные Заявителя'!$A$93,J45*0.2,J45*0.15))))</f>
        <v>4.5</v>
      </c>
      <c r="K46" s="62">
        <f t="shared" si="39"/>
        <v>18</v>
      </c>
      <c r="L46" s="39">
        <f>IF('Данные Заявителя'!$B$8='Данные Заявителя'!$A$96,'Данные Заявителя'!$F$8/4000,IF('Данные Заявителя'!$B$8='Данные Заявителя'!$A$94,L36*0.06,IF(L45&lt;0,0,IF('Данные Заявителя'!$B$8='Данные Заявителя'!$A$93,L45*0.2,L45*0.15))))</f>
        <v>4.5</v>
      </c>
      <c r="M46" s="39">
        <f>IF('Данные Заявителя'!$B$8='Данные Заявителя'!$A$96,'Данные Заявителя'!$F$8/4000,IF('Данные Заявителя'!$B$8='Данные Заявителя'!$A$94,M36*0.06,IF(M45&lt;0,0,IF('Данные Заявителя'!$B$8='Данные Заявителя'!$A$93,M45*0.2,M45*0.15))))</f>
        <v>4.5</v>
      </c>
      <c r="N46" s="39">
        <f>IF('Данные Заявителя'!$B$8='Данные Заявителя'!$A$96,'Данные Заявителя'!$F$8/4000,IF('Данные Заявителя'!$B$8='Данные Заявителя'!$A$94,N36*0.06,IF(N45&lt;0,0,IF('Данные Заявителя'!$B$8='Данные Заявителя'!$A$93,N45*0.2,N45*0.15))))</f>
        <v>4.5</v>
      </c>
      <c r="O46" s="39">
        <f>IF('Данные Заявителя'!$B$8='Данные Заявителя'!$A$96,'Данные Заявителя'!$F$8/4000,IF('Данные Заявителя'!$B$8='Данные Заявителя'!$A$94,O36*0.06,IF(O45&lt;0,0,IF('Данные Заявителя'!$B$8='Данные Заявителя'!$A$93,O45*0.2,O45*0.15))))</f>
        <v>4.5</v>
      </c>
      <c r="P46" s="62">
        <f>SUM(L46:O46)</f>
        <v>18</v>
      </c>
      <c r="Q46" s="63">
        <f>F46+K46+P46</f>
        <v>54</v>
      </c>
    </row>
    <row r="47" spans="1:17" s="55" customFormat="1" x14ac:dyDescent="0.25">
      <c r="A47" s="61" t="s">
        <v>96</v>
      </c>
      <c r="B47" s="62">
        <f>B45-B46</f>
        <v>-352.72199999999998</v>
      </c>
      <c r="C47" s="62">
        <f t="shared" ref="C47:E47" si="41">C45-C46</f>
        <v>157.726</v>
      </c>
      <c r="D47" s="62">
        <f t="shared" si="41"/>
        <v>83.987999999999829</v>
      </c>
      <c r="E47" s="62">
        <f t="shared" si="41"/>
        <v>437.23799999999983</v>
      </c>
      <c r="F47" s="62">
        <f t="shared" si="37"/>
        <v>326.22999999999968</v>
      </c>
      <c r="G47" s="62">
        <f>G45-G46</f>
        <v>707.36351999999988</v>
      </c>
      <c r="H47" s="62">
        <f t="shared" ref="H47" si="42">H45-H46</f>
        <v>707.36351999999988</v>
      </c>
      <c r="I47" s="62">
        <f t="shared" ref="I47" si="43">I45-I46</f>
        <v>956.99351999999999</v>
      </c>
      <c r="J47" s="62">
        <f t="shared" ref="J47" si="44">J45-J46</f>
        <v>1081.8085199999998</v>
      </c>
      <c r="K47" s="62">
        <f t="shared" si="39"/>
        <v>3453.5290799999993</v>
      </c>
      <c r="L47" s="62">
        <f>L45-L46</f>
        <v>1157.8813607999996</v>
      </c>
      <c r="M47" s="62">
        <f t="shared" ref="M47" si="45">M45-M46</f>
        <v>1157.8813607999996</v>
      </c>
      <c r="N47" s="62">
        <f t="shared" ref="N47" si="46">N45-N46</f>
        <v>1554.7930607999999</v>
      </c>
      <c r="O47" s="62">
        <f t="shared" ref="O47" si="47">O45-O46</f>
        <v>1554.7930607999999</v>
      </c>
      <c r="P47" s="62">
        <f t="shared" si="34"/>
        <v>5425.3488431999986</v>
      </c>
      <c r="Q47" s="63">
        <f t="shared" si="35"/>
        <v>9205.1079231999975</v>
      </c>
    </row>
    <row r="50" spans="1:14" x14ac:dyDescent="0.25">
      <c r="A50" s="33" t="s">
        <v>211</v>
      </c>
    </row>
    <row r="51" spans="1:14" ht="15" customHeight="1" x14ac:dyDescent="0.25">
      <c r="A51" s="227" t="s">
        <v>135</v>
      </c>
      <c r="B51" s="227" t="s">
        <v>101</v>
      </c>
      <c r="C51" s="227"/>
      <c r="D51" s="227"/>
      <c r="E51" s="227"/>
      <c r="F51" s="227" t="s">
        <v>103</v>
      </c>
      <c r="G51" s="227"/>
      <c r="H51" s="227"/>
      <c r="I51" s="227"/>
      <c r="J51" s="227" t="s">
        <v>104</v>
      </c>
      <c r="K51" s="227"/>
      <c r="L51" s="227"/>
      <c r="M51" s="227"/>
      <c r="N51" s="225" t="s">
        <v>107</v>
      </c>
    </row>
    <row r="52" spans="1:14" x14ac:dyDescent="0.25">
      <c r="A52" s="227"/>
      <c r="B52" s="37" t="s">
        <v>97</v>
      </c>
      <c r="C52" s="37" t="s">
        <v>98</v>
      </c>
      <c r="D52" s="37" t="s">
        <v>99</v>
      </c>
      <c r="E52" s="37" t="s">
        <v>100</v>
      </c>
      <c r="F52" s="37" t="s">
        <v>97</v>
      </c>
      <c r="G52" s="37" t="s">
        <v>98</v>
      </c>
      <c r="H52" s="37" t="s">
        <v>99</v>
      </c>
      <c r="I52" s="37" t="s">
        <v>100</v>
      </c>
      <c r="J52" s="37" t="s">
        <v>97</v>
      </c>
      <c r="K52" s="37" t="s">
        <v>98</v>
      </c>
      <c r="L52" s="37" t="s">
        <v>99</v>
      </c>
      <c r="M52" s="37" t="s">
        <v>100</v>
      </c>
      <c r="N52" s="226"/>
    </row>
    <row r="53" spans="1:14" x14ac:dyDescent="0.25">
      <c r="A53" s="72" t="s">
        <v>112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4"/>
      <c r="M53" s="74"/>
      <c r="N53" s="75"/>
    </row>
    <row r="54" spans="1:14" x14ac:dyDescent="0.25">
      <c r="A54" s="76" t="s">
        <v>113</v>
      </c>
      <c r="B54" s="77">
        <f>B55</f>
        <v>80</v>
      </c>
      <c r="C54" s="77">
        <f t="shared" ref="C54:M54" si="48">C55</f>
        <v>954</v>
      </c>
      <c r="D54" s="77">
        <f t="shared" si="48"/>
        <v>1113</v>
      </c>
      <c r="E54" s="77">
        <f t="shared" si="48"/>
        <v>1590</v>
      </c>
      <c r="F54" s="77">
        <f t="shared" si="48"/>
        <v>2022.48</v>
      </c>
      <c r="G54" s="77">
        <f t="shared" si="48"/>
        <v>2022.48</v>
      </c>
      <c r="H54" s="77">
        <f t="shared" si="48"/>
        <v>2359.56</v>
      </c>
      <c r="I54" s="77">
        <f t="shared" si="48"/>
        <v>2528.1</v>
      </c>
      <c r="J54" s="77">
        <f t="shared" si="48"/>
        <v>2679.7860000000001</v>
      </c>
      <c r="K54" s="77">
        <f t="shared" si="48"/>
        <v>2679.7860000000001</v>
      </c>
      <c r="L54" s="77">
        <f t="shared" si="48"/>
        <v>3215.7432000000003</v>
      </c>
      <c r="M54" s="77">
        <f t="shared" si="48"/>
        <v>3215.7432000000003</v>
      </c>
      <c r="N54" s="77">
        <f>SUM(B54:M54)</f>
        <v>24460.678400000001</v>
      </c>
    </row>
    <row r="55" spans="1:14" x14ac:dyDescent="0.25">
      <c r="A55" s="78" t="s">
        <v>136</v>
      </c>
      <c r="B55" s="79">
        <f>B36</f>
        <v>80</v>
      </c>
      <c r="C55" s="79">
        <f t="shared" ref="C55:E55" si="49">C36</f>
        <v>954</v>
      </c>
      <c r="D55" s="79">
        <f t="shared" si="49"/>
        <v>1113</v>
      </c>
      <c r="E55" s="79">
        <f t="shared" si="49"/>
        <v>1590</v>
      </c>
      <c r="F55" s="79">
        <f>G36</f>
        <v>2022.48</v>
      </c>
      <c r="G55" s="79">
        <f t="shared" ref="G55:I55" si="50">H36</f>
        <v>2022.48</v>
      </c>
      <c r="H55" s="79">
        <f t="shared" si="50"/>
        <v>2359.56</v>
      </c>
      <c r="I55" s="79">
        <f t="shared" si="50"/>
        <v>2528.1</v>
      </c>
      <c r="J55" s="79">
        <f>L36</f>
        <v>2679.7860000000001</v>
      </c>
      <c r="K55" s="79">
        <f t="shared" ref="K55:M55" si="51">M36</f>
        <v>2679.7860000000001</v>
      </c>
      <c r="L55" s="79">
        <f t="shared" si="51"/>
        <v>3215.7432000000003</v>
      </c>
      <c r="M55" s="79">
        <f t="shared" si="51"/>
        <v>3215.7432000000003</v>
      </c>
      <c r="N55" s="79">
        <f t="shared" ref="N55:N73" si="52">SUM(B55:M55)</f>
        <v>24460.678400000001</v>
      </c>
    </row>
    <row r="56" spans="1:14" x14ac:dyDescent="0.25">
      <c r="A56" s="76" t="s">
        <v>114</v>
      </c>
      <c r="B56" s="77">
        <f>B57+B58</f>
        <v>432.72199999999998</v>
      </c>
      <c r="C56" s="77">
        <f t="shared" ref="C56:M56" si="53">C57+C58</f>
        <v>796.274</v>
      </c>
      <c r="D56" s="77">
        <f t="shared" si="53"/>
        <v>1029.0120000000002</v>
      </c>
      <c r="E56" s="77">
        <f t="shared" si="53"/>
        <v>1152.7620000000002</v>
      </c>
      <c r="F56" s="77">
        <f t="shared" si="53"/>
        <v>1315.1164800000001</v>
      </c>
      <c r="G56" s="77">
        <f t="shared" si="53"/>
        <v>1315.1164800000001</v>
      </c>
      <c r="H56" s="77">
        <f t="shared" si="53"/>
        <v>1402.56648</v>
      </c>
      <c r="I56" s="77">
        <f t="shared" si="53"/>
        <v>1446.2914800000001</v>
      </c>
      <c r="J56" s="77">
        <f t="shared" si="53"/>
        <v>1521.9046392000005</v>
      </c>
      <c r="K56" s="77">
        <f t="shared" si="53"/>
        <v>1521.9046392000005</v>
      </c>
      <c r="L56" s="77">
        <f t="shared" si="53"/>
        <v>1660.9501392000004</v>
      </c>
      <c r="M56" s="77">
        <f t="shared" si="53"/>
        <v>1660.9501392000004</v>
      </c>
      <c r="N56" s="77">
        <f t="shared" si="52"/>
        <v>15255.570476800001</v>
      </c>
    </row>
    <row r="57" spans="1:14" x14ac:dyDescent="0.25">
      <c r="A57" s="78" t="s">
        <v>137</v>
      </c>
      <c r="B57" s="79">
        <f>B38-B41</f>
        <v>428.22199999999998</v>
      </c>
      <c r="C57" s="79">
        <f t="shared" ref="C57:E57" si="54">C38-C41</f>
        <v>791.774</v>
      </c>
      <c r="D57" s="79">
        <f t="shared" si="54"/>
        <v>1024.5120000000002</v>
      </c>
      <c r="E57" s="79">
        <f t="shared" si="54"/>
        <v>1148.2620000000002</v>
      </c>
      <c r="F57" s="79">
        <f>G38-G41</f>
        <v>1310.6164800000001</v>
      </c>
      <c r="G57" s="79">
        <f t="shared" ref="G57:I57" si="55">H38-H41</f>
        <v>1310.6164800000001</v>
      </c>
      <c r="H57" s="79">
        <f t="shared" si="55"/>
        <v>1398.06648</v>
      </c>
      <c r="I57" s="79">
        <f t="shared" si="55"/>
        <v>1441.7914800000001</v>
      </c>
      <c r="J57" s="79">
        <f>L38-L41</f>
        <v>1517.4046392000005</v>
      </c>
      <c r="K57" s="79">
        <f t="shared" ref="K57:M57" si="56">M38-M41</f>
        <v>1517.4046392000005</v>
      </c>
      <c r="L57" s="79">
        <f t="shared" si="56"/>
        <v>1656.4501392000004</v>
      </c>
      <c r="M57" s="79">
        <f t="shared" si="56"/>
        <v>1656.4501392000004</v>
      </c>
      <c r="N57" s="79">
        <f t="shared" si="52"/>
        <v>15201.570476800001</v>
      </c>
    </row>
    <row r="58" spans="1:14" x14ac:dyDescent="0.25">
      <c r="A58" s="80" t="s">
        <v>115</v>
      </c>
      <c r="B58" s="79">
        <f>B46</f>
        <v>4.5</v>
      </c>
      <c r="C58" s="79">
        <f t="shared" ref="C58:E58" si="57">C46</f>
        <v>4.5</v>
      </c>
      <c r="D58" s="79">
        <f t="shared" si="57"/>
        <v>4.5</v>
      </c>
      <c r="E58" s="79">
        <f t="shared" si="57"/>
        <v>4.5</v>
      </c>
      <c r="F58" s="79">
        <f>G46</f>
        <v>4.5</v>
      </c>
      <c r="G58" s="79">
        <f t="shared" ref="G58:I58" si="58">H46</f>
        <v>4.5</v>
      </c>
      <c r="H58" s="79">
        <f t="shared" si="58"/>
        <v>4.5</v>
      </c>
      <c r="I58" s="79">
        <f t="shared" si="58"/>
        <v>4.5</v>
      </c>
      <c r="J58" s="79">
        <f>L46</f>
        <v>4.5</v>
      </c>
      <c r="K58" s="79">
        <f t="shared" ref="K58:M58" si="59">M46</f>
        <v>4.5</v>
      </c>
      <c r="L58" s="79">
        <f t="shared" si="59"/>
        <v>4.5</v>
      </c>
      <c r="M58" s="79">
        <f t="shared" si="59"/>
        <v>4.5</v>
      </c>
      <c r="N58" s="79">
        <f t="shared" si="52"/>
        <v>54</v>
      </c>
    </row>
    <row r="59" spans="1:14" x14ac:dyDescent="0.25">
      <c r="A59" s="76" t="s">
        <v>116</v>
      </c>
      <c r="B59" s="77">
        <f>B54-B56</f>
        <v>-352.72199999999998</v>
      </c>
      <c r="C59" s="77">
        <f t="shared" ref="C59:M59" si="60">C54-C56</f>
        <v>157.726</v>
      </c>
      <c r="D59" s="77">
        <f t="shared" si="60"/>
        <v>83.987999999999829</v>
      </c>
      <c r="E59" s="77">
        <f t="shared" si="60"/>
        <v>437.23799999999983</v>
      </c>
      <c r="F59" s="77">
        <f t="shared" si="60"/>
        <v>707.36351999999988</v>
      </c>
      <c r="G59" s="77">
        <f t="shared" si="60"/>
        <v>707.36351999999988</v>
      </c>
      <c r="H59" s="77">
        <f t="shared" si="60"/>
        <v>956.99351999999999</v>
      </c>
      <c r="I59" s="77">
        <f t="shared" si="60"/>
        <v>1081.8085199999998</v>
      </c>
      <c r="J59" s="77">
        <f t="shared" si="60"/>
        <v>1157.8813607999996</v>
      </c>
      <c r="K59" s="77">
        <f t="shared" si="60"/>
        <v>1157.8813607999996</v>
      </c>
      <c r="L59" s="77">
        <f t="shared" si="60"/>
        <v>1554.7930607999999</v>
      </c>
      <c r="M59" s="77">
        <f t="shared" si="60"/>
        <v>1554.7930607999999</v>
      </c>
      <c r="N59" s="77">
        <f t="shared" si="52"/>
        <v>9205.1079231999975</v>
      </c>
    </row>
    <row r="60" spans="1:14" x14ac:dyDescent="0.25">
      <c r="A60" s="72" t="s">
        <v>117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4"/>
      <c r="M60" s="74"/>
      <c r="N60" s="75"/>
    </row>
    <row r="61" spans="1:14" x14ac:dyDescent="0.25">
      <c r="A61" s="76" t="s">
        <v>113</v>
      </c>
      <c r="B61" s="81">
        <v>0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2">
        <v>0</v>
      </c>
      <c r="M61" s="82">
        <v>0</v>
      </c>
      <c r="N61" s="82">
        <f t="shared" si="52"/>
        <v>0</v>
      </c>
    </row>
    <row r="62" spans="1:14" x14ac:dyDescent="0.25">
      <c r="A62" s="76" t="s">
        <v>114</v>
      </c>
      <c r="B62" s="83">
        <f>B63</f>
        <v>350</v>
      </c>
      <c r="C62" s="83">
        <f t="shared" ref="C62:M62" si="61">C63</f>
        <v>0</v>
      </c>
      <c r="D62" s="83">
        <f t="shared" si="61"/>
        <v>0</v>
      </c>
      <c r="E62" s="83">
        <f t="shared" si="61"/>
        <v>0</v>
      </c>
      <c r="F62" s="83">
        <f t="shared" si="61"/>
        <v>0</v>
      </c>
      <c r="G62" s="83">
        <f t="shared" si="61"/>
        <v>0</v>
      </c>
      <c r="H62" s="83">
        <f t="shared" si="61"/>
        <v>0</v>
      </c>
      <c r="I62" s="83">
        <f t="shared" si="61"/>
        <v>0</v>
      </c>
      <c r="J62" s="83">
        <f t="shared" si="61"/>
        <v>0</v>
      </c>
      <c r="K62" s="83">
        <f t="shared" si="61"/>
        <v>0</v>
      </c>
      <c r="L62" s="83">
        <f t="shared" si="61"/>
        <v>0</v>
      </c>
      <c r="M62" s="83">
        <f t="shared" si="61"/>
        <v>0</v>
      </c>
      <c r="N62" s="83">
        <f t="shared" si="52"/>
        <v>350</v>
      </c>
    </row>
    <row r="63" spans="1:14" x14ac:dyDescent="0.25">
      <c r="A63" s="78" t="s">
        <v>118</v>
      </c>
      <c r="B63" s="84">
        <f>SUM('Данные Заявителя'!C69:E72)/1000</f>
        <v>350</v>
      </c>
      <c r="C63" s="84">
        <f>SUM('Данные Заявителя'!F69:H72)/1000</f>
        <v>0</v>
      </c>
      <c r="D63" s="84">
        <f>SUM('Данные Заявителя'!I69:K72)/1000</f>
        <v>0</v>
      </c>
      <c r="E63" s="84">
        <f>SUM('Данные Заявителя'!L69:N72)</f>
        <v>0</v>
      </c>
      <c r="F63" s="84">
        <f>SUM('Данные Заявителя'!O69:Q72)/1000</f>
        <v>0</v>
      </c>
      <c r="G63" s="84">
        <f>SUM('Данные Заявителя'!R69:T72)</f>
        <v>0</v>
      </c>
      <c r="H63" s="84">
        <f>SUM('Данные Заявителя'!U69:W72)</f>
        <v>0</v>
      </c>
      <c r="I63" s="84">
        <f>SUM('Данные Заявителя'!X69:Z72)</f>
        <v>0</v>
      </c>
      <c r="J63" s="84">
        <f>SUM('Данные Заявителя'!AA69:AC72)</f>
        <v>0</v>
      </c>
      <c r="K63" s="84">
        <f>SUM('Данные Заявителя'!AD69:AF72)</f>
        <v>0</v>
      </c>
      <c r="L63" s="84">
        <f>SUM('Данные Заявителя'!AG69:AI72)</f>
        <v>0</v>
      </c>
      <c r="M63" s="84">
        <f>SUM('Данные Заявителя'!AJ69:AL72)</f>
        <v>0</v>
      </c>
      <c r="N63" s="84">
        <f t="shared" si="52"/>
        <v>350</v>
      </c>
    </row>
    <row r="64" spans="1:14" x14ac:dyDescent="0.25">
      <c r="A64" s="76" t="s">
        <v>119</v>
      </c>
      <c r="B64" s="83">
        <f>B61-B62</f>
        <v>-350</v>
      </c>
      <c r="C64" s="83">
        <f t="shared" ref="C64:M64" si="62">C61-C62</f>
        <v>0</v>
      </c>
      <c r="D64" s="83">
        <f t="shared" si="62"/>
        <v>0</v>
      </c>
      <c r="E64" s="83">
        <f t="shared" si="62"/>
        <v>0</v>
      </c>
      <c r="F64" s="83">
        <f t="shared" si="62"/>
        <v>0</v>
      </c>
      <c r="G64" s="83">
        <f t="shared" si="62"/>
        <v>0</v>
      </c>
      <c r="H64" s="83">
        <f t="shared" si="62"/>
        <v>0</v>
      </c>
      <c r="I64" s="83">
        <f t="shared" si="62"/>
        <v>0</v>
      </c>
      <c r="J64" s="83">
        <f t="shared" si="62"/>
        <v>0</v>
      </c>
      <c r="K64" s="83">
        <f t="shared" si="62"/>
        <v>0</v>
      </c>
      <c r="L64" s="83">
        <f t="shared" si="62"/>
        <v>0</v>
      </c>
      <c r="M64" s="83">
        <f t="shared" si="62"/>
        <v>0</v>
      </c>
      <c r="N64" s="83">
        <f t="shared" si="52"/>
        <v>-350</v>
      </c>
    </row>
    <row r="65" spans="1:14" x14ac:dyDescent="0.25">
      <c r="A65" s="72" t="s">
        <v>120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4"/>
      <c r="M65" s="74"/>
      <c r="N65" s="75"/>
    </row>
    <row r="66" spans="1:14" x14ac:dyDescent="0.25">
      <c r="A66" s="76" t="s">
        <v>113</v>
      </c>
      <c r="B66" s="83">
        <f>SUM(B67:B68)</f>
        <v>350</v>
      </c>
      <c r="C66" s="83">
        <f t="shared" ref="C66:M66" si="63">SUM(C67:C68)</f>
        <v>0</v>
      </c>
      <c r="D66" s="83">
        <f t="shared" si="63"/>
        <v>0</v>
      </c>
      <c r="E66" s="83">
        <f t="shared" si="63"/>
        <v>0</v>
      </c>
      <c r="F66" s="83">
        <f t="shared" si="63"/>
        <v>0</v>
      </c>
      <c r="G66" s="83">
        <f t="shared" si="63"/>
        <v>0</v>
      </c>
      <c r="H66" s="83">
        <f t="shared" si="63"/>
        <v>0</v>
      </c>
      <c r="I66" s="83">
        <f t="shared" si="63"/>
        <v>0</v>
      </c>
      <c r="J66" s="83">
        <f t="shared" si="63"/>
        <v>0</v>
      </c>
      <c r="K66" s="83">
        <f t="shared" si="63"/>
        <v>0</v>
      </c>
      <c r="L66" s="83">
        <f t="shared" si="63"/>
        <v>0</v>
      </c>
      <c r="M66" s="83">
        <f t="shared" si="63"/>
        <v>0</v>
      </c>
      <c r="N66" s="83">
        <f t="shared" si="52"/>
        <v>350</v>
      </c>
    </row>
    <row r="67" spans="1:14" x14ac:dyDescent="0.25">
      <c r="A67" s="78" t="s">
        <v>140</v>
      </c>
      <c r="B67" s="84">
        <f>'Данные Заявителя'!B85/1000</f>
        <v>350</v>
      </c>
      <c r="C67" s="84">
        <f>'Данные Заявителя'!C85/1000</f>
        <v>0</v>
      </c>
      <c r="D67" s="84">
        <f>'Данные Заявителя'!D85/1000</f>
        <v>0</v>
      </c>
      <c r="E67" s="84">
        <f>'Данные Заявителя'!E85/1000</f>
        <v>0</v>
      </c>
      <c r="F67" s="84">
        <f>'Данные Заявителя'!F85/1000</f>
        <v>0</v>
      </c>
      <c r="G67" s="84">
        <f>'Данные Заявителя'!G85/1000</f>
        <v>0</v>
      </c>
      <c r="H67" s="84">
        <f>'Данные Заявителя'!H85/1000</f>
        <v>0</v>
      </c>
      <c r="I67" s="84">
        <f>'Данные Заявителя'!I85/1000</f>
        <v>0</v>
      </c>
      <c r="J67" s="84">
        <f>'Данные Заявителя'!J85/1000</f>
        <v>0</v>
      </c>
      <c r="K67" s="84">
        <f>'Данные Заявителя'!K85/1000</f>
        <v>0</v>
      </c>
      <c r="L67" s="84">
        <f>'Данные Заявителя'!L85/1000</f>
        <v>0</v>
      </c>
      <c r="M67" s="84">
        <f>'Данные Заявителя'!M85/1000</f>
        <v>0</v>
      </c>
      <c r="N67" s="84">
        <f t="shared" si="52"/>
        <v>350</v>
      </c>
    </row>
    <row r="68" spans="1:14" x14ac:dyDescent="0.25">
      <c r="A68" s="78" t="s">
        <v>138</v>
      </c>
      <c r="B68" s="84">
        <f>'Данные Заявителя'!B24/1000</f>
        <v>0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2">
        <v>0</v>
      </c>
      <c r="M68" s="82">
        <v>0</v>
      </c>
      <c r="N68" s="82">
        <f t="shared" si="52"/>
        <v>0</v>
      </c>
    </row>
    <row r="69" spans="1:14" x14ac:dyDescent="0.25">
      <c r="A69" s="76" t="s">
        <v>114</v>
      </c>
      <c r="B69" s="83">
        <f>SUM(B70:B71)</f>
        <v>0</v>
      </c>
      <c r="C69" s="83">
        <f t="shared" ref="C69:M69" si="64">SUM(C70:C71)</f>
        <v>0</v>
      </c>
      <c r="D69" s="83">
        <f t="shared" si="64"/>
        <v>0</v>
      </c>
      <c r="E69" s="83">
        <f t="shared" si="64"/>
        <v>0</v>
      </c>
      <c r="F69" s="83">
        <f t="shared" si="64"/>
        <v>350</v>
      </c>
      <c r="G69" s="83">
        <f t="shared" si="64"/>
        <v>0</v>
      </c>
      <c r="H69" s="83">
        <f t="shared" si="64"/>
        <v>0</v>
      </c>
      <c r="I69" s="83">
        <f t="shared" si="64"/>
        <v>0</v>
      </c>
      <c r="J69" s="83">
        <f t="shared" si="64"/>
        <v>0</v>
      </c>
      <c r="K69" s="83">
        <f t="shared" si="64"/>
        <v>0</v>
      </c>
      <c r="L69" s="83">
        <f t="shared" si="64"/>
        <v>0</v>
      </c>
      <c r="M69" s="83">
        <f t="shared" si="64"/>
        <v>0</v>
      </c>
      <c r="N69" s="83">
        <f t="shared" si="52"/>
        <v>350</v>
      </c>
    </row>
    <row r="70" spans="1:14" x14ac:dyDescent="0.25">
      <c r="A70" s="86" t="s">
        <v>139</v>
      </c>
      <c r="B70" s="84">
        <f>SUM('Данные Заявителя'!B128:B130)</f>
        <v>0</v>
      </c>
      <c r="C70" s="84">
        <f>SUM('Данные Заявителя'!B131:B133)/1000</f>
        <v>0</v>
      </c>
      <c r="D70" s="84">
        <f>SUM('Данные Заявителя'!B134:B136)/1000</f>
        <v>0</v>
      </c>
      <c r="E70" s="84">
        <f>SUM('Данные Заявителя'!B137:B139)/1000</f>
        <v>0</v>
      </c>
      <c r="F70" s="84">
        <f>SUM('Данные Заявителя'!B140:B142)/1000</f>
        <v>0</v>
      </c>
      <c r="G70" s="84">
        <f>SUM('Данные Заявителя'!B143:B145)/1000</f>
        <v>0</v>
      </c>
      <c r="H70" s="84">
        <f>SUM('Данные Заявителя'!B146:B148)/1000</f>
        <v>0</v>
      </c>
      <c r="I70" s="84">
        <f>SUM('Данные Заявителя'!B149:B151)/1000</f>
        <v>0</v>
      </c>
      <c r="J70" s="84">
        <f>SUM('Данные Заявителя'!B152:B154)/1000</f>
        <v>0</v>
      </c>
      <c r="K70" s="84">
        <f>SUM('Данные Заявителя'!B155:B157)/1000</f>
        <v>0</v>
      </c>
      <c r="L70" s="84">
        <f>SUM('Данные Заявителя'!B158:B160)/1000</f>
        <v>0</v>
      </c>
      <c r="M70" s="84">
        <f>SUM('Данные Заявителя'!B161:B163)/1000</f>
        <v>0</v>
      </c>
      <c r="N70" s="84">
        <f t="shared" si="52"/>
        <v>0</v>
      </c>
    </row>
    <row r="71" spans="1:14" x14ac:dyDescent="0.25">
      <c r="A71" s="87" t="s">
        <v>141</v>
      </c>
      <c r="B71" s="84">
        <f>'Данные Заявителя'!B86/1000</f>
        <v>0</v>
      </c>
      <c r="C71" s="84">
        <f>'Данные Заявителя'!C86/1000</f>
        <v>0</v>
      </c>
      <c r="D71" s="84">
        <f>'Данные Заявителя'!D86/1000</f>
        <v>0</v>
      </c>
      <c r="E71" s="84">
        <f>'Данные Заявителя'!E86/1000</f>
        <v>0</v>
      </c>
      <c r="F71" s="84">
        <f>'Данные Заявителя'!F86/1000</f>
        <v>350</v>
      </c>
      <c r="G71" s="84">
        <f>'Данные Заявителя'!G86/1000</f>
        <v>0</v>
      </c>
      <c r="H71" s="84">
        <f>'Данные Заявителя'!H86/1000</f>
        <v>0</v>
      </c>
      <c r="I71" s="84">
        <f>'Данные Заявителя'!I86/1000</f>
        <v>0</v>
      </c>
      <c r="J71" s="84">
        <f>'Данные Заявителя'!J86/1000</f>
        <v>0</v>
      </c>
      <c r="K71" s="84">
        <f>'Данные Заявителя'!K86/1000</f>
        <v>0</v>
      </c>
      <c r="L71" s="84">
        <f>'Данные Заявителя'!L86/1000</f>
        <v>0</v>
      </c>
      <c r="M71" s="84">
        <f>'Данные Заявителя'!M86/1000</f>
        <v>0</v>
      </c>
      <c r="N71" s="84">
        <f t="shared" si="52"/>
        <v>350</v>
      </c>
    </row>
    <row r="72" spans="1:14" x14ac:dyDescent="0.25">
      <c r="A72" s="76" t="s">
        <v>121</v>
      </c>
      <c r="B72" s="83">
        <f>B66-B69</f>
        <v>350</v>
      </c>
      <c r="C72" s="83">
        <f t="shared" ref="C72:M72" si="65">C66-C69</f>
        <v>0</v>
      </c>
      <c r="D72" s="83">
        <f t="shared" si="65"/>
        <v>0</v>
      </c>
      <c r="E72" s="83">
        <f t="shared" si="65"/>
        <v>0</v>
      </c>
      <c r="F72" s="83">
        <f t="shared" si="65"/>
        <v>-350</v>
      </c>
      <c r="G72" s="83">
        <f t="shared" si="65"/>
        <v>0</v>
      </c>
      <c r="H72" s="83">
        <f t="shared" si="65"/>
        <v>0</v>
      </c>
      <c r="I72" s="83">
        <f t="shared" si="65"/>
        <v>0</v>
      </c>
      <c r="J72" s="83">
        <f t="shared" si="65"/>
        <v>0</v>
      </c>
      <c r="K72" s="83">
        <f t="shared" si="65"/>
        <v>0</v>
      </c>
      <c r="L72" s="83">
        <f t="shared" si="65"/>
        <v>0</v>
      </c>
      <c r="M72" s="83">
        <f t="shared" si="65"/>
        <v>0</v>
      </c>
      <c r="N72" s="83">
        <f t="shared" si="52"/>
        <v>0</v>
      </c>
    </row>
    <row r="73" spans="1:14" x14ac:dyDescent="0.25">
      <c r="A73" s="88" t="s">
        <v>122</v>
      </c>
      <c r="B73" s="89">
        <f>B59+B64+B72</f>
        <v>-352.72199999999998</v>
      </c>
      <c r="C73" s="89">
        <f t="shared" ref="C73:M73" si="66">C59+C64+C72</f>
        <v>157.726</v>
      </c>
      <c r="D73" s="89">
        <f t="shared" si="66"/>
        <v>83.987999999999829</v>
      </c>
      <c r="E73" s="89">
        <f t="shared" si="66"/>
        <v>437.23799999999983</v>
      </c>
      <c r="F73" s="89">
        <f t="shared" si="66"/>
        <v>357.36351999999988</v>
      </c>
      <c r="G73" s="89">
        <f t="shared" si="66"/>
        <v>707.36351999999988</v>
      </c>
      <c r="H73" s="89">
        <f t="shared" si="66"/>
        <v>956.99351999999999</v>
      </c>
      <c r="I73" s="89">
        <f t="shared" si="66"/>
        <v>1081.8085199999998</v>
      </c>
      <c r="J73" s="89">
        <f t="shared" si="66"/>
        <v>1157.8813607999996</v>
      </c>
      <c r="K73" s="89">
        <f t="shared" si="66"/>
        <v>1157.8813607999996</v>
      </c>
      <c r="L73" s="89">
        <f t="shared" si="66"/>
        <v>1554.7930607999999</v>
      </c>
      <c r="M73" s="89">
        <f t="shared" si="66"/>
        <v>1554.7930607999999</v>
      </c>
      <c r="N73" s="89">
        <f t="shared" si="52"/>
        <v>8855.1079231999975</v>
      </c>
    </row>
    <row r="74" spans="1:14" x14ac:dyDescent="0.25">
      <c r="A74" s="80" t="s">
        <v>123</v>
      </c>
      <c r="B74" s="84">
        <f>'Данные Заявителя'!B30/1000</f>
        <v>350</v>
      </c>
      <c r="C74" s="84">
        <f>B75</f>
        <v>-2.72199999999998</v>
      </c>
      <c r="D74" s="84">
        <f t="shared" ref="D74:M74" si="67">C75</f>
        <v>155.00400000000002</v>
      </c>
      <c r="E74" s="84">
        <f t="shared" si="67"/>
        <v>238.99199999999985</v>
      </c>
      <c r="F74" s="84">
        <f t="shared" si="67"/>
        <v>676.22999999999968</v>
      </c>
      <c r="G74" s="84">
        <f t="shared" si="67"/>
        <v>1033.5935199999994</v>
      </c>
      <c r="H74" s="84">
        <f t="shared" si="67"/>
        <v>1740.9570399999993</v>
      </c>
      <c r="I74" s="84">
        <f t="shared" si="67"/>
        <v>2697.9505599999993</v>
      </c>
      <c r="J74" s="84">
        <f t="shared" si="67"/>
        <v>3779.7590799999989</v>
      </c>
      <c r="K74" s="84">
        <f t="shared" si="67"/>
        <v>4937.640440799998</v>
      </c>
      <c r="L74" s="84">
        <f t="shared" si="67"/>
        <v>6095.5218015999981</v>
      </c>
      <c r="M74" s="84">
        <f t="shared" si="67"/>
        <v>7650.3148623999978</v>
      </c>
      <c r="N74" s="84">
        <f>B74</f>
        <v>350</v>
      </c>
    </row>
    <row r="75" spans="1:14" x14ac:dyDescent="0.25">
      <c r="A75" s="80" t="s">
        <v>124</v>
      </c>
      <c r="B75" s="84">
        <f>B74+B73</f>
        <v>-2.72199999999998</v>
      </c>
      <c r="C75" s="84">
        <f t="shared" ref="C75:M75" si="68">C74+C73</f>
        <v>155.00400000000002</v>
      </c>
      <c r="D75" s="84">
        <f t="shared" si="68"/>
        <v>238.99199999999985</v>
      </c>
      <c r="E75" s="84">
        <f t="shared" si="68"/>
        <v>676.22999999999968</v>
      </c>
      <c r="F75" s="84">
        <f t="shared" si="68"/>
        <v>1033.5935199999994</v>
      </c>
      <c r="G75" s="84">
        <f t="shared" si="68"/>
        <v>1740.9570399999993</v>
      </c>
      <c r="H75" s="84">
        <f t="shared" si="68"/>
        <v>2697.9505599999993</v>
      </c>
      <c r="I75" s="84">
        <f t="shared" si="68"/>
        <v>3779.7590799999989</v>
      </c>
      <c r="J75" s="84">
        <f t="shared" si="68"/>
        <v>4937.640440799998</v>
      </c>
      <c r="K75" s="84">
        <f t="shared" si="68"/>
        <v>6095.5218015999981</v>
      </c>
      <c r="L75" s="84">
        <f t="shared" si="68"/>
        <v>7650.3148623999978</v>
      </c>
      <c r="M75" s="84">
        <f t="shared" si="68"/>
        <v>9205.1079231999975</v>
      </c>
      <c r="N75" s="84">
        <f>M75</f>
        <v>9205.1079231999975</v>
      </c>
    </row>
    <row r="76" spans="1:14" x14ac:dyDescent="0.25">
      <c r="A76" s="90" t="s">
        <v>125</v>
      </c>
      <c r="B76" s="91">
        <f>B73</f>
        <v>-352.72199999999998</v>
      </c>
      <c r="C76" s="91">
        <f>B76+C73</f>
        <v>-194.99599999999998</v>
      </c>
      <c r="D76" s="91">
        <f t="shared" ref="D76:M76" si="69">C76+D73</f>
        <v>-111.00800000000015</v>
      </c>
      <c r="E76" s="91">
        <f t="shared" si="69"/>
        <v>326.22999999999968</v>
      </c>
      <c r="F76" s="91">
        <f t="shared" si="69"/>
        <v>683.59351999999956</v>
      </c>
      <c r="G76" s="91">
        <f t="shared" si="69"/>
        <v>1390.9570399999993</v>
      </c>
      <c r="H76" s="91">
        <f t="shared" si="69"/>
        <v>2347.9505599999993</v>
      </c>
      <c r="I76" s="91">
        <f t="shared" si="69"/>
        <v>3429.7590799999989</v>
      </c>
      <c r="J76" s="91">
        <f t="shared" si="69"/>
        <v>4587.640440799998</v>
      </c>
      <c r="K76" s="91">
        <f t="shared" si="69"/>
        <v>5745.5218015999981</v>
      </c>
      <c r="L76" s="91">
        <f t="shared" si="69"/>
        <v>7300.3148623999978</v>
      </c>
      <c r="M76" s="91">
        <f t="shared" si="69"/>
        <v>8855.1079231999975</v>
      </c>
      <c r="N76" s="91"/>
    </row>
    <row r="79" spans="1:14" x14ac:dyDescent="0.25">
      <c r="A79" s="33" t="s">
        <v>212</v>
      </c>
    </row>
    <row r="80" spans="1:14" x14ac:dyDescent="0.25">
      <c r="A80" s="228" t="s">
        <v>135</v>
      </c>
      <c r="B80" s="227" t="s">
        <v>101</v>
      </c>
      <c r="C80" s="227"/>
      <c r="D80" s="227"/>
      <c r="E80" s="227"/>
      <c r="F80" s="227" t="s">
        <v>103</v>
      </c>
      <c r="G80" s="227"/>
      <c r="H80" s="227"/>
      <c r="I80" s="227"/>
      <c r="J80" s="227" t="s">
        <v>104</v>
      </c>
      <c r="K80" s="227"/>
      <c r="L80" s="227"/>
      <c r="M80" s="227"/>
    </row>
    <row r="81" spans="1:13" x14ac:dyDescent="0.25">
      <c r="A81" s="229"/>
      <c r="B81" s="37" t="s">
        <v>97</v>
      </c>
      <c r="C81" s="37" t="s">
        <v>98</v>
      </c>
      <c r="D81" s="37" t="s">
        <v>99</v>
      </c>
      <c r="E81" s="37" t="s">
        <v>100</v>
      </c>
      <c r="F81" s="37" t="s">
        <v>97</v>
      </c>
      <c r="G81" s="37" t="s">
        <v>98</v>
      </c>
      <c r="H81" s="37" t="s">
        <v>99</v>
      </c>
      <c r="I81" s="37" t="s">
        <v>100</v>
      </c>
      <c r="J81" s="37" t="s">
        <v>97</v>
      </c>
      <c r="K81" s="37" t="s">
        <v>98</v>
      </c>
      <c r="L81" s="37" t="s">
        <v>99</v>
      </c>
      <c r="M81" s="37" t="s">
        <v>100</v>
      </c>
    </row>
    <row r="82" spans="1:13" ht="30" x14ac:dyDescent="0.25">
      <c r="A82" s="92" t="s">
        <v>158</v>
      </c>
      <c r="B82" s="93">
        <f>B64</f>
        <v>-350</v>
      </c>
      <c r="C82" s="93">
        <f t="shared" ref="C82:M82" si="70">C64</f>
        <v>0</v>
      </c>
      <c r="D82" s="93">
        <f t="shared" si="70"/>
        <v>0</v>
      </c>
      <c r="E82" s="93">
        <f t="shared" si="70"/>
        <v>0</v>
      </c>
      <c r="F82" s="93">
        <f t="shared" si="70"/>
        <v>0</v>
      </c>
      <c r="G82" s="93">
        <f t="shared" si="70"/>
        <v>0</v>
      </c>
      <c r="H82" s="93">
        <f t="shared" si="70"/>
        <v>0</v>
      </c>
      <c r="I82" s="93">
        <f t="shared" si="70"/>
        <v>0</v>
      </c>
      <c r="J82" s="93">
        <f t="shared" si="70"/>
        <v>0</v>
      </c>
      <c r="K82" s="93">
        <f t="shared" si="70"/>
        <v>0</v>
      </c>
      <c r="L82" s="93">
        <f t="shared" si="70"/>
        <v>0</v>
      </c>
      <c r="M82" s="93">
        <f t="shared" si="70"/>
        <v>0</v>
      </c>
    </row>
    <row r="83" spans="1:13" ht="30" x14ac:dyDescent="0.25">
      <c r="A83" s="92" t="s">
        <v>159</v>
      </c>
      <c r="B83" s="93">
        <f>B59</f>
        <v>-352.72199999999998</v>
      </c>
      <c r="C83" s="93">
        <f t="shared" ref="C83:M83" si="71">C59</f>
        <v>157.726</v>
      </c>
      <c r="D83" s="93">
        <f t="shared" si="71"/>
        <v>83.987999999999829</v>
      </c>
      <c r="E83" s="93">
        <f t="shared" si="71"/>
        <v>437.23799999999983</v>
      </c>
      <c r="F83" s="93">
        <f t="shared" si="71"/>
        <v>707.36351999999988</v>
      </c>
      <c r="G83" s="93">
        <f t="shared" si="71"/>
        <v>707.36351999999988</v>
      </c>
      <c r="H83" s="93">
        <f t="shared" si="71"/>
        <v>956.99351999999999</v>
      </c>
      <c r="I83" s="93">
        <f t="shared" si="71"/>
        <v>1081.8085199999998</v>
      </c>
      <c r="J83" s="93">
        <f t="shared" si="71"/>
        <v>1157.8813607999996</v>
      </c>
      <c r="K83" s="93">
        <f t="shared" si="71"/>
        <v>1157.8813607999996</v>
      </c>
      <c r="L83" s="93">
        <f t="shared" si="71"/>
        <v>1554.7930607999999</v>
      </c>
      <c r="M83" s="93">
        <f t="shared" si="71"/>
        <v>1554.7930607999999</v>
      </c>
    </row>
    <row r="84" spans="1:13" ht="30" x14ac:dyDescent="0.25">
      <c r="A84" s="92" t="s">
        <v>160</v>
      </c>
      <c r="B84" s="93">
        <f>B82+B83</f>
        <v>-702.72199999999998</v>
      </c>
      <c r="C84" s="93">
        <f t="shared" ref="C84:M84" si="72">C82+C83</f>
        <v>157.726</v>
      </c>
      <c r="D84" s="93">
        <f t="shared" si="72"/>
        <v>83.987999999999829</v>
      </c>
      <c r="E84" s="93">
        <f t="shared" si="72"/>
        <v>437.23799999999983</v>
      </c>
      <c r="F84" s="93">
        <f t="shared" si="72"/>
        <v>707.36351999999988</v>
      </c>
      <c r="G84" s="93">
        <f t="shared" si="72"/>
        <v>707.36351999999988</v>
      </c>
      <c r="H84" s="93">
        <f t="shared" si="72"/>
        <v>956.99351999999999</v>
      </c>
      <c r="I84" s="93">
        <f t="shared" si="72"/>
        <v>1081.8085199999998</v>
      </c>
      <c r="J84" s="93">
        <f t="shared" si="72"/>
        <v>1157.8813607999996</v>
      </c>
      <c r="K84" s="93">
        <f t="shared" si="72"/>
        <v>1157.8813607999996</v>
      </c>
      <c r="L84" s="93">
        <f t="shared" si="72"/>
        <v>1554.7930607999999</v>
      </c>
      <c r="M84" s="93">
        <f t="shared" si="72"/>
        <v>1554.7930607999999</v>
      </c>
    </row>
    <row r="85" spans="1:13" s="43" customFormat="1" ht="30" x14ac:dyDescent="0.25">
      <c r="A85" s="94" t="s">
        <v>161</v>
      </c>
      <c r="B85" s="95">
        <f>B84</f>
        <v>-702.72199999999998</v>
      </c>
      <c r="C85" s="95">
        <f>B85+C84</f>
        <v>-544.99599999999998</v>
      </c>
      <c r="D85" s="95">
        <f t="shared" ref="D85:M85" si="73">C85+D84</f>
        <v>-461.00800000000015</v>
      </c>
      <c r="E85" s="95">
        <f t="shared" si="73"/>
        <v>-23.770000000000323</v>
      </c>
      <c r="F85" s="95">
        <f t="shared" si="73"/>
        <v>683.59351999999956</v>
      </c>
      <c r="G85" s="95">
        <f t="shared" si="73"/>
        <v>1390.9570399999993</v>
      </c>
      <c r="H85" s="95">
        <f t="shared" si="73"/>
        <v>2347.9505599999993</v>
      </c>
      <c r="I85" s="95">
        <f t="shared" si="73"/>
        <v>3429.7590799999989</v>
      </c>
      <c r="J85" s="95">
        <f t="shared" si="73"/>
        <v>4587.640440799998</v>
      </c>
      <c r="K85" s="95">
        <f t="shared" si="73"/>
        <v>5745.5218015999981</v>
      </c>
      <c r="L85" s="95">
        <f t="shared" si="73"/>
        <v>7300.3148623999978</v>
      </c>
      <c r="M85" s="95">
        <f t="shared" si="73"/>
        <v>8855.1079231999975</v>
      </c>
    </row>
    <row r="86" spans="1:13" ht="30" x14ac:dyDescent="0.25">
      <c r="A86" s="94" t="s">
        <v>145</v>
      </c>
      <c r="B86" s="96">
        <f>(1+B89)^(1/4)-1</f>
        <v>3.8249025165422168E-2</v>
      </c>
      <c r="C86" s="97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1:13" x14ac:dyDescent="0.25">
      <c r="A87" s="94" t="s">
        <v>146</v>
      </c>
      <c r="B87" s="99">
        <f>1/(1+$B$86)^1</f>
        <v>0.96316006638260221</v>
      </c>
      <c r="C87" s="99">
        <f>1/(1+$B$86)^2</f>
        <v>0.92767731347413873</v>
      </c>
      <c r="D87" s="99">
        <f>1/(1+$B$86)^3</f>
        <v>0.89350174282738548</v>
      </c>
      <c r="E87" s="99">
        <f>1/(1+$B$86)^4</f>
        <v>0.86058519793459543</v>
      </c>
      <c r="F87" s="99">
        <f>1/(1+$B$86)^5</f>
        <v>0.82888129637056984</v>
      </c>
      <c r="G87" s="99">
        <f>1/(1+$B$86)^6</f>
        <v>0.79834536443557536</v>
      </c>
      <c r="H87" s="99">
        <f>1/(1+$B$86)^7</f>
        <v>0.76893437420601152</v>
      </c>
      <c r="I87" s="99">
        <f>1/(1+$B$86)^8</f>
        <v>0.74060688290412668</v>
      </c>
      <c r="J87" s="99">
        <f>1/(1+$B$86)^9</f>
        <v>0.71332297450135074</v>
      </c>
      <c r="K87" s="99">
        <f>1/(1+$B$86)^10</f>
        <v>0.68704420347295625</v>
      </c>
      <c r="L87" s="99">
        <f>1/(1+$B$86)^11</f>
        <v>0.66173354062479461</v>
      </c>
      <c r="M87" s="99">
        <f>1/(1+$B$86)^12</f>
        <v>0.63735532091577163</v>
      </c>
    </row>
    <row r="88" spans="1:13" ht="30" x14ac:dyDescent="0.25">
      <c r="A88" s="94" t="s">
        <v>157</v>
      </c>
      <c r="B88" s="100">
        <f>B84*B87</f>
        <v>-676.83376816851501</v>
      </c>
      <c r="C88" s="100">
        <f t="shared" ref="C88:M88" si="74">C84*C87</f>
        <v>146.318831945022</v>
      </c>
      <c r="D88" s="100">
        <f t="shared" si="74"/>
        <v>75.043424376586302</v>
      </c>
      <c r="E88" s="100">
        <f t="shared" si="74"/>
        <v>376.28055077452649</v>
      </c>
      <c r="F88" s="100">
        <f t="shared" si="74"/>
        <v>586.32039146284944</v>
      </c>
      <c r="G88" s="100">
        <f t="shared" si="74"/>
        <v>564.72038716283134</v>
      </c>
      <c r="H88" s="100">
        <f t="shared" si="74"/>
        <v>735.86521342040817</v>
      </c>
      <c r="I88" s="100">
        <f t="shared" si="74"/>
        <v>801.19483589632648</v>
      </c>
      <c r="J88" s="100">
        <f t="shared" si="74"/>
        <v>825.94337640552737</v>
      </c>
      <c r="K88" s="100">
        <f t="shared" si="74"/>
        <v>795.5156772470184</v>
      </c>
      <c r="L88" s="100">
        <f t="shared" si="74"/>
        <v>1028.8587170620456</v>
      </c>
      <c r="M88" s="100">
        <f t="shared" si="74"/>
        <v>990.95563022379883</v>
      </c>
    </row>
    <row r="89" spans="1:13" ht="30" x14ac:dyDescent="0.25">
      <c r="A89" s="92" t="s">
        <v>151</v>
      </c>
      <c r="B89" s="101">
        <f>('Данные Заявителя'!B5+IF('Данные Заявителя'!B9='Данные Заявителя'!A98,'Данные Заявителя'!B98,IF('Данные Заявителя'!B9='Данные Заявителя'!A99,'Данные Заявителя'!B99,IF('Данные Заявителя'!B9='Данные Заявителя'!A100,'Данные Заявителя'!B100,IF('Данные Заявителя'!B9='Данные Заявителя'!A101,'Данные Заявителя'!B101,10))))*'Данные Заявителя'!B6)*'Данные Заявителя'!B30/('Данные Заявителя'!B24+'Данные Заявителя'!B30)+('Данные Заявителя'!B27)*'Данные Заявителя'!B24/('Данные Заявителя'!B24+'Данные Заявителя'!B30)</f>
        <v>0.16200000000000001</v>
      </c>
      <c r="C89" s="102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1:13" ht="30" x14ac:dyDescent="0.25">
      <c r="A90" s="92" t="s">
        <v>152</v>
      </c>
      <c r="B90" s="35" t="str">
        <f>CONCATENATE(ROUND(SUM(B88:M88),0),"  тыс. руб.")</f>
        <v>6250  тыс. руб.</v>
      </c>
      <c r="C90" s="104"/>
      <c r="D90" s="105"/>
      <c r="E90" s="105"/>
      <c r="F90" s="105"/>
      <c r="G90" s="105"/>
      <c r="H90" s="105"/>
      <c r="I90" s="105"/>
      <c r="J90" s="105"/>
      <c r="K90" s="105"/>
      <c r="L90" s="105"/>
      <c r="M90" s="105"/>
    </row>
    <row r="91" spans="1:13" ht="30" x14ac:dyDescent="0.25">
      <c r="A91" s="92" t="s">
        <v>154</v>
      </c>
      <c r="B91" s="101">
        <f>ABS(AVERAGE(B83:M83)/SUM(B82:M82))</f>
        <v>2.1916923626666658</v>
      </c>
      <c r="C91" s="104"/>
      <c r="D91" s="105"/>
      <c r="E91" s="105"/>
      <c r="F91" s="105"/>
      <c r="G91" s="105"/>
      <c r="H91" s="105"/>
      <c r="I91" s="105"/>
      <c r="J91" s="105"/>
      <c r="K91" s="105"/>
      <c r="L91" s="105"/>
      <c r="M91" s="105"/>
    </row>
    <row r="92" spans="1:13" ht="30" x14ac:dyDescent="0.25">
      <c r="A92" s="92" t="s">
        <v>153</v>
      </c>
      <c r="B92" s="106">
        <f>IRR(B84:M84)</f>
        <v>0.53087430598268304</v>
      </c>
      <c r="C92" s="104"/>
      <c r="D92" s="105"/>
      <c r="E92" s="105"/>
      <c r="F92" s="105"/>
      <c r="G92" s="105"/>
      <c r="H92" s="105"/>
      <c r="I92" s="105"/>
      <c r="J92" s="105"/>
      <c r="K92" s="105"/>
      <c r="L92" s="105"/>
      <c r="M92" s="105"/>
    </row>
    <row r="93" spans="1:13" x14ac:dyDescent="0.25">
      <c r="A93" s="92" t="s">
        <v>155</v>
      </c>
      <c r="B93" s="36" t="str">
        <f>CONCATENATE(ROUND(1/B91,2),"  квартала")</f>
        <v>0,46  квартала</v>
      </c>
      <c r="C93" s="104"/>
      <c r="D93" s="105"/>
      <c r="E93" s="105"/>
      <c r="F93" s="105"/>
      <c r="G93" s="105"/>
      <c r="H93" s="105"/>
      <c r="I93" s="105"/>
      <c r="J93" s="105"/>
      <c r="K93" s="105"/>
      <c r="L93" s="105"/>
      <c r="M93" s="105"/>
    </row>
    <row r="94" spans="1:13" ht="30" x14ac:dyDescent="0.25">
      <c r="A94" s="92" t="s">
        <v>156</v>
      </c>
      <c r="B94" s="36" t="str">
        <f>CONCATENATE(ROUND(1/ABS(AVERAGE(B289:M289)/SUM(B288:M288)),1),"  квартала")</f>
        <v>0,6  квартала</v>
      </c>
      <c r="C94" s="104"/>
      <c r="D94" s="105"/>
      <c r="E94" s="105"/>
      <c r="F94" s="105"/>
      <c r="G94" s="105"/>
      <c r="H94" s="105"/>
      <c r="I94" s="105"/>
      <c r="J94" s="105"/>
      <c r="K94" s="105"/>
      <c r="L94" s="105"/>
      <c r="M94" s="105"/>
    </row>
    <row r="95" spans="1:13" x14ac:dyDescent="0.25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</row>
    <row r="97" spans="1:6" x14ac:dyDescent="0.25">
      <c r="A97" s="108" t="s">
        <v>213</v>
      </c>
      <c r="D97" s="109"/>
      <c r="E97" s="110"/>
      <c r="F97" s="111"/>
    </row>
    <row r="98" spans="1:6" x14ac:dyDescent="0.25">
      <c r="A98" s="108"/>
      <c r="D98" s="109"/>
      <c r="E98" s="110"/>
      <c r="F98" s="111"/>
    </row>
    <row r="99" spans="1:6" x14ac:dyDescent="0.25">
      <c r="A99" s="108"/>
      <c r="D99" s="109"/>
      <c r="E99" s="110"/>
      <c r="F99" s="111"/>
    </row>
    <row r="100" spans="1:6" x14ac:dyDescent="0.25">
      <c r="A100" s="108"/>
      <c r="D100" s="109"/>
      <c r="E100" s="110"/>
      <c r="F100" s="111"/>
    </row>
    <row r="101" spans="1:6" x14ac:dyDescent="0.25">
      <c r="A101" s="108"/>
      <c r="D101" s="109"/>
      <c r="E101" s="110"/>
      <c r="F101" s="111"/>
    </row>
    <row r="102" spans="1:6" x14ac:dyDescent="0.25">
      <c r="A102" s="108"/>
      <c r="D102" s="109"/>
      <c r="E102" s="110"/>
      <c r="F102" s="111"/>
    </row>
    <row r="103" spans="1:6" x14ac:dyDescent="0.25">
      <c r="A103" s="108"/>
      <c r="D103" s="109"/>
      <c r="E103" s="110"/>
      <c r="F103" s="111"/>
    </row>
    <row r="104" spans="1:6" x14ac:dyDescent="0.25">
      <c r="A104" s="108"/>
      <c r="D104" s="109"/>
      <c r="E104" s="110"/>
      <c r="F104" s="111"/>
    </row>
    <row r="105" spans="1:6" x14ac:dyDescent="0.25">
      <c r="A105" s="108"/>
      <c r="D105" s="109"/>
      <c r="E105" s="110"/>
      <c r="F105" s="111"/>
    </row>
    <row r="106" spans="1:6" x14ac:dyDescent="0.25">
      <c r="A106" s="108"/>
      <c r="D106" s="109"/>
      <c r="E106" s="110"/>
      <c r="F106" s="111"/>
    </row>
    <row r="107" spans="1:6" x14ac:dyDescent="0.25">
      <c r="A107" s="108"/>
      <c r="D107" s="109"/>
      <c r="E107" s="110"/>
      <c r="F107" s="111"/>
    </row>
    <row r="108" spans="1:6" x14ac:dyDescent="0.25">
      <c r="A108" s="108"/>
      <c r="D108" s="109"/>
      <c r="E108" s="110"/>
      <c r="F108" s="111"/>
    </row>
    <row r="109" spans="1:6" x14ac:dyDescent="0.25">
      <c r="A109" s="108"/>
      <c r="D109" s="109"/>
      <c r="E109" s="110"/>
      <c r="F109" s="111"/>
    </row>
    <row r="110" spans="1:6" x14ac:dyDescent="0.25">
      <c r="A110" s="108"/>
      <c r="D110" s="109"/>
      <c r="E110" s="110"/>
      <c r="F110" s="111"/>
    </row>
    <row r="111" spans="1:6" x14ac:dyDescent="0.25">
      <c r="A111" s="108"/>
      <c r="D111" s="109"/>
      <c r="E111" s="110"/>
      <c r="F111" s="111"/>
    </row>
    <row r="112" spans="1:6" x14ac:dyDescent="0.25">
      <c r="A112" s="108"/>
      <c r="D112" s="109"/>
      <c r="E112" s="110"/>
      <c r="F112" s="111"/>
    </row>
    <row r="113" spans="1:13" x14ac:dyDescent="0.25">
      <c r="A113" s="108"/>
      <c r="D113" s="109"/>
      <c r="E113" s="110"/>
      <c r="F113" s="111"/>
    </row>
    <row r="114" spans="1:13" x14ac:dyDescent="0.25">
      <c r="A114" s="108"/>
      <c r="D114" s="109"/>
      <c r="E114" s="110"/>
      <c r="F114" s="111"/>
    </row>
    <row r="115" spans="1:13" ht="15.75" thickBot="1" x14ac:dyDescent="0.3">
      <c r="A115" s="112" t="s">
        <v>214</v>
      </c>
      <c r="D115" s="109"/>
      <c r="E115" s="110"/>
      <c r="F115" s="111"/>
    </row>
    <row r="116" spans="1:13" ht="16.5" thickBot="1" x14ac:dyDescent="0.3">
      <c r="A116" s="219" t="s">
        <v>185</v>
      </c>
      <c r="B116" s="221" t="s">
        <v>209</v>
      </c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2"/>
    </row>
    <row r="117" spans="1:13" ht="30.75" thickBot="1" x14ac:dyDescent="0.3">
      <c r="A117" s="220"/>
      <c r="B117" s="113" t="s">
        <v>186</v>
      </c>
      <c r="C117" s="113" t="s">
        <v>187</v>
      </c>
      <c r="D117" s="113" t="s">
        <v>188</v>
      </c>
      <c r="E117" s="113" t="s">
        <v>189</v>
      </c>
      <c r="F117" s="113" t="s">
        <v>190</v>
      </c>
      <c r="G117" s="113" t="s">
        <v>191</v>
      </c>
      <c r="H117" s="113" t="s">
        <v>192</v>
      </c>
      <c r="I117" s="113" t="s">
        <v>193</v>
      </c>
      <c r="J117" s="113" t="s">
        <v>194</v>
      </c>
      <c r="K117" s="113" t="s">
        <v>195</v>
      </c>
      <c r="L117" s="113" t="s">
        <v>196</v>
      </c>
      <c r="M117" s="113" t="s">
        <v>197</v>
      </c>
    </row>
    <row r="118" spans="1:13" ht="16.5" thickBot="1" x14ac:dyDescent="0.3">
      <c r="A118" s="114" t="s">
        <v>205</v>
      </c>
      <c r="B118" s="115">
        <f>B36</f>
        <v>80</v>
      </c>
      <c r="C118" s="115">
        <f t="shared" ref="C118:E118" si="75">C36</f>
        <v>954</v>
      </c>
      <c r="D118" s="115">
        <f t="shared" si="75"/>
        <v>1113</v>
      </c>
      <c r="E118" s="115">
        <f t="shared" si="75"/>
        <v>1590</v>
      </c>
      <c r="F118" s="115">
        <f>G36</f>
        <v>2022.48</v>
      </c>
      <c r="G118" s="115">
        <f t="shared" ref="G118:I118" si="76">H36</f>
        <v>2022.48</v>
      </c>
      <c r="H118" s="115">
        <f t="shared" si="76"/>
        <v>2359.56</v>
      </c>
      <c r="I118" s="115">
        <f t="shared" si="76"/>
        <v>2528.1</v>
      </c>
      <c r="J118" s="115">
        <f>L36</f>
        <v>2679.7860000000001</v>
      </c>
      <c r="K118" s="115">
        <f t="shared" ref="K118:M118" si="77">M36</f>
        <v>2679.7860000000001</v>
      </c>
      <c r="L118" s="115">
        <f t="shared" si="77"/>
        <v>3215.7432000000003</v>
      </c>
      <c r="M118" s="115">
        <f t="shared" si="77"/>
        <v>3215.7432000000003</v>
      </c>
    </row>
    <row r="119" spans="1:13" ht="16.5" thickBot="1" x14ac:dyDescent="0.3">
      <c r="A119" s="114" t="s">
        <v>206</v>
      </c>
      <c r="B119" s="116">
        <f>B47</f>
        <v>-352.72199999999998</v>
      </c>
      <c r="C119" s="116">
        <f t="shared" ref="C119:E119" si="78">C47</f>
        <v>157.726</v>
      </c>
      <c r="D119" s="116">
        <f t="shared" si="78"/>
        <v>83.987999999999829</v>
      </c>
      <c r="E119" s="116">
        <f t="shared" si="78"/>
        <v>437.23799999999983</v>
      </c>
      <c r="F119" s="116">
        <f>G47</f>
        <v>707.36351999999988</v>
      </c>
      <c r="G119" s="116">
        <f t="shared" ref="G119:I119" si="79">H47</f>
        <v>707.36351999999988</v>
      </c>
      <c r="H119" s="116">
        <f t="shared" si="79"/>
        <v>956.99351999999999</v>
      </c>
      <c r="I119" s="116">
        <f t="shared" si="79"/>
        <v>1081.8085199999998</v>
      </c>
      <c r="J119" s="116">
        <f>L47</f>
        <v>1157.8813607999996</v>
      </c>
      <c r="K119" s="116">
        <f t="shared" ref="K119:M119" si="80">M47</f>
        <v>1157.8813607999996</v>
      </c>
      <c r="L119" s="116">
        <f t="shared" si="80"/>
        <v>1554.7930607999999</v>
      </c>
      <c r="M119" s="116">
        <f t="shared" si="80"/>
        <v>1554.7930607999999</v>
      </c>
    </row>
    <row r="120" spans="1:13" ht="32.25" thickBot="1" x14ac:dyDescent="0.3">
      <c r="A120" s="114" t="s">
        <v>198</v>
      </c>
      <c r="B120" s="116">
        <f t="shared" ref="B120:M120" si="81">SUM(B121:B127)</f>
        <v>117.25200000000001</v>
      </c>
      <c r="C120" s="116">
        <f t="shared" si="81"/>
        <v>171.684</v>
      </c>
      <c r="D120" s="116">
        <f t="shared" si="81"/>
        <v>233.89200000000002</v>
      </c>
      <c r="E120" s="116">
        <f t="shared" si="81"/>
        <v>233.89200000000002</v>
      </c>
      <c r="F120" s="116">
        <f t="shared" si="81"/>
        <v>243.06768</v>
      </c>
      <c r="G120" s="116">
        <f t="shared" si="81"/>
        <v>243.06768</v>
      </c>
      <c r="H120" s="116">
        <f t="shared" si="81"/>
        <v>243.06768</v>
      </c>
      <c r="I120" s="116">
        <f t="shared" si="81"/>
        <v>243.06768</v>
      </c>
      <c r="J120" s="116">
        <f t="shared" si="81"/>
        <v>252.61038720000005</v>
      </c>
      <c r="K120" s="116">
        <f t="shared" si="81"/>
        <v>252.61038720000005</v>
      </c>
      <c r="L120" s="116">
        <f t="shared" si="81"/>
        <v>252.61038720000005</v>
      </c>
      <c r="M120" s="116">
        <f t="shared" si="81"/>
        <v>252.61038720000005</v>
      </c>
    </row>
    <row r="121" spans="1:13" s="119" customFormat="1" ht="12.75" x14ac:dyDescent="0.2">
      <c r="A121" s="117" t="s">
        <v>95</v>
      </c>
      <c r="B121" s="118">
        <f>B46</f>
        <v>4.5</v>
      </c>
      <c r="C121" s="118">
        <f t="shared" ref="C121:D121" si="82">C46</f>
        <v>4.5</v>
      </c>
      <c r="D121" s="118">
        <f t="shared" si="82"/>
        <v>4.5</v>
      </c>
      <c r="E121" s="118">
        <f>E46</f>
        <v>4.5</v>
      </c>
      <c r="F121" s="118">
        <f>G46</f>
        <v>4.5</v>
      </c>
      <c r="G121" s="118">
        <f t="shared" ref="G121:I121" si="83">H46</f>
        <v>4.5</v>
      </c>
      <c r="H121" s="118">
        <f t="shared" si="83"/>
        <v>4.5</v>
      </c>
      <c r="I121" s="118">
        <f t="shared" si="83"/>
        <v>4.5</v>
      </c>
      <c r="J121" s="118">
        <f>L46</f>
        <v>4.5</v>
      </c>
      <c r="K121" s="118">
        <f t="shared" ref="K121:M121" si="84">M46</f>
        <v>4.5</v>
      </c>
      <c r="L121" s="118">
        <f t="shared" si="84"/>
        <v>4.5</v>
      </c>
      <c r="M121" s="118">
        <f t="shared" si="84"/>
        <v>4.5</v>
      </c>
    </row>
    <row r="122" spans="1:13" s="119" customFormat="1" ht="12.75" x14ac:dyDescent="0.2">
      <c r="A122" s="120" t="s">
        <v>208</v>
      </c>
      <c r="B122" s="121">
        <f>B39*0.13</f>
        <v>33.93</v>
      </c>
      <c r="C122" s="121">
        <f t="shared" ref="C122:E122" si="85">C39*0.13</f>
        <v>50.31</v>
      </c>
      <c r="D122" s="121">
        <f t="shared" si="85"/>
        <v>69.03</v>
      </c>
      <c r="E122" s="121">
        <f t="shared" si="85"/>
        <v>69.03</v>
      </c>
      <c r="F122" s="121">
        <f>G39*0.13</f>
        <v>71.791200000000003</v>
      </c>
      <c r="G122" s="121">
        <f t="shared" ref="G122:I122" si="86">H39*0.13</f>
        <v>71.791200000000003</v>
      </c>
      <c r="H122" s="121">
        <f t="shared" si="86"/>
        <v>71.791200000000003</v>
      </c>
      <c r="I122" s="121">
        <f t="shared" si="86"/>
        <v>71.791200000000003</v>
      </c>
      <c r="J122" s="121">
        <f>L39*0.13</f>
        <v>74.662848000000025</v>
      </c>
      <c r="K122" s="121">
        <f t="shared" ref="K122:M122" si="87">M39*0.13</f>
        <v>74.662848000000025</v>
      </c>
      <c r="L122" s="121">
        <f t="shared" si="87"/>
        <v>74.662848000000025</v>
      </c>
      <c r="M122" s="121">
        <f t="shared" si="87"/>
        <v>74.662848000000025</v>
      </c>
    </row>
    <row r="123" spans="1:13" s="119" customFormat="1" ht="12.75" x14ac:dyDescent="0.2">
      <c r="A123" s="120" t="s">
        <v>199</v>
      </c>
      <c r="B123" s="121">
        <f>IF((B30-B5-B9-B12-B14-B15-B16-B17-B18)&gt;0,IF('Данные Заявителя'!$B$8='Данные Заявителя'!$A$93,(B30-B5-B9-B12-B14-B15-B16-B17-B18)*20%/120%/1000,0),0)</f>
        <v>0</v>
      </c>
      <c r="C123" s="121">
        <f>IF((C30-C5-C9-C12-C14-C15-C16-C17-C18)&gt;0,IF('Данные Заявителя'!$B$8='Данные Заявителя'!$A$93,(C30-C5-C9-C12-C14-C15-C16-C17-C18)*20%/120%/1000,0),0)</f>
        <v>0</v>
      </c>
      <c r="D123" s="121">
        <f>IF((D30-D5-D9-D12-D14-D15-D16-D17-D18)&gt;0,IF('Данные Заявителя'!$B$8='Данные Заявителя'!$A$93,(D30-D5-D9-D12-D14-D15-D16-D17-D18)*20%/120%/1000,0),0)</f>
        <v>0</v>
      </c>
      <c r="E123" s="121">
        <f>IF((E30-E5-E9-E12-E14-E15-E16-E17-E18)&gt;0,IF('Данные Заявителя'!$B$8='Данные Заявителя'!$A$93,(E30-E5-E9-E12-E14-E15-E16-E17-E18)*20%/120%/1000,0),0)</f>
        <v>0</v>
      </c>
      <c r="F123" s="121">
        <f>IF((G30-G5-G9-G12-G14-G15-G16-G17-G18)&gt;0,IF('Данные Заявителя'!$B$8='Данные Заявителя'!$A$93,(G30-G5-G9-G12-G14-G15-G16-G17-G18)*20%/120%/1000,0),0)</f>
        <v>0</v>
      </c>
      <c r="G123" s="121">
        <f>IF((H30-H5-H9-H12-H14-H15-H16-H17-H18)&gt;0,IF('Данные Заявителя'!$B$8='Данные Заявителя'!$A$93,(H30-H5-H9-H12-H14-H15-H16-H17-H18)*20%/120%/1000,0),0)</f>
        <v>0</v>
      </c>
      <c r="H123" s="121">
        <f>IF((I30-I5-I9-I12-I14-I15-I16-I17-I18)&gt;0,IF('Данные Заявителя'!$B$8='Данные Заявителя'!$A$93,(I30-I5-I9-I12-I14-I15-I16-I17-I18)*20%/120%/1000,0),0)</f>
        <v>0</v>
      </c>
      <c r="I123" s="121">
        <f>IF((J30-J5-J9-J12-J14-J15-J16-J17-J18)&gt;0,IF('Данные Заявителя'!$B$8='Данные Заявителя'!$A$93,(J30-J5-J9-J12-J14-J15-J16-J17-J18)*20%/120%/1000,0),0)</f>
        <v>0</v>
      </c>
      <c r="J123" s="121">
        <f>IF((L30-L5-L9-L12-L14-L15-L16-L17-L18)&gt;0,IF('Данные Заявителя'!$B$8='Данные Заявителя'!$A$93,(L30-L5-L9-L12-L14-L15-L16-L17-L18)*20%/120%/1000,0),0)</f>
        <v>0</v>
      </c>
      <c r="K123" s="121">
        <f>IF((M30-M5-M9-M12-M14-M15-M16-M17-M18)&gt;0,IF('Данные Заявителя'!$B$8='Данные Заявителя'!$A$93,(M30-M5-M9-M12-M14-M15-M16-M17-M18)*20%/120%/1000,0),0)</f>
        <v>0</v>
      </c>
      <c r="L123" s="121">
        <f>IF((N30-N5-N9-N12-N14-N15-N16-N17-N18)&gt;0,IF('Данные Заявителя'!$B$8='Данные Заявителя'!$A$93,(N30-N5-N9-N12-N14-N15-N16-N17-N18)*20%/120%/1000,0),0)</f>
        <v>0</v>
      </c>
      <c r="M123" s="121">
        <f>IF((O30-O5-O9-O12-O14-O15-O16-O17-O18)&gt;0,IF('Данные Заявителя'!$B$8='Данные Заявителя'!$A$93,(O30-O5-O9-O12-O14-O15-O16-O17-O18)*20%/120%/1000,0),0)</f>
        <v>0</v>
      </c>
    </row>
    <row r="124" spans="1:13" s="119" customFormat="1" ht="12.75" x14ac:dyDescent="0.2">
      <c r="A124" s="122" t="s">
        <v>267</v>
      </c>
      <c r="B124" s="121">
        <f>'Данные Заявителя'!$B$106*B39</f>
        <v>57.42</v>
      </c>
      <c r="C124" s="121">
        <f>'Данные Заявителя'!$B$106*C39</f>
        <v>85.14</v>
      </c>
      <c r="D124" s="121">
        <f>'Данные Заявителя'!$B$106*D39</f>
        <v>116.82000000000001</v>
      </c>
      <c r="E124" s="121">
        <f>'Данные Заявителя'!$B$106*E39</f>
        <v>116.82000000000001</v>
      </c>
      <c r="F124" s="121">
        <f>'Данные Заявителя'!$B$106*G39</f>
        <v>121.4928</v>
      </c>
      <c r="G124" s="121">
        <f>'Данные Заявителя'!$B$106*H39</f>
        <v>121.4928</v>
      </c>
      <c r="H124" s="121">
        <f>'Данные Заявителя'!$B$106*I39</f>
        <v>121.4928</v>
      </c>
      <c r="I124" s="121">
        <f>'Данные Заявителя'!$B$106*J39</f>
        <v>121.4928</v>
      </c>
      <c r="J124" s="121">
        <f>'Данные Заявителя'!$B$106*L39</f>
        <v>126.35251200000003</v>
      </c>
      <c r="K124" s="121">
        <f>'Данные Заявителя'!$B$106*M39</f>
        <v>126.35251200000003</v>
      </c>
      <c r="L124" s="121">
        <f>'Данные Заявителя'!$B$106*N39</f>
        <v>126.35251200000003</v>
      </c>
      <c r="M124" s="121">
        <f>'Данные Заявителя'!$B$106*O39</f>
        <v>126.35251200000003</v>
      </c>
    </row>
    <row r="125" spans="1:13" s="119" customFormat="1" ht="12.75" x14ac:dyDescent="0.2">
      <c r="A125" s="122" t="s">
        <v>200</v>
      </c>
      <c r="B125" s="121">
        <f>'Данные Заявителя'!$B$107*B39</f>
        <v>13.311</v>
      </c>
      <c r="C125" s="121">
        <f>'Данные Заявителя'!$B$107*C39</f>
        <v>19.736999999999998</v>
      </c>
      <c r="D125" s="121">
        <f>'Данные Заявителя'!$B$107*D39</f>
        <v>27.081</v>
      </c>
      <c r="E125" s="121">
        <f>'Данные Заявителя'!$B$107*E39</f>
        <v>27.081</v>
      </c>
      <c r="F125" s="121">
        <f>'Данные Заявителя'!$B$107*G39</f>
        <v>28.164239999999999</v>
      </c>
      <c r="G125" s="121">
        <f>'Данные Заявителя'!$B$107*H39</f>
        <v>28.164239999999999</v>
      </c>
      <c r="H125" s="121">
        <f>'Данные Заявителя'!$B$107*I39</f>
        <v>28.164239999999999</v>
      </c>
      <c r="I125" s="121">
        <f>'Данные Заявителя'!$B$107*J39</f>
        <v>28.164239999999999</v>
      </c>
      <c r="J125" s="121">
        <f>'Данные Заявителя'!$B$107*L39</f>
        <v>29.290809600000006</v>
      </c>
      <c r="K125" s="121">
        <f>'Данные Заявителя'!$B$107*M39</f>
        <v>29.290809600000006</v>
      </c>
      <c r="L125" s="121">
        <f>'Данные Заявителя'!$B$107*N39</f>
        <v>29.290809600000006</v>
      </c>
      <c r="M125" s="121">
        <f>'Данные Заявителя'!$B$107*O39</f>
        <v>29.290809600000006</v>
      </c>
    </row>
    <row r="126" spans="1:13" s="119" customFormat="1" ht="12.75" x14ac:dyDescent="0.2">
      <c r="A126" s="122" t="s">
        <v>201</v>
      </c>
      <c r="B126" s="121">
        <f>'Данные Заявителя'!$B$108*B39</f>
        <v>7.569</v>
      </c>
      <c r="C126" s="121">
        <f>'Данные Заявителя'!$B$108*C39</f>
        <v>11.223000000000001</v>
      </c>
      <c r="D126" s="121">
        <f>'Данные Заявителя'!$B$108*D39</f>
        <v>15.399000000000001</v>
      </c>
      <c r="E126" s="121">
        <f>'Данные Заявителя'!$B$108*E39</f>
        <v>15.399000000000001</v>
      </c>
      <c r="F126" s="121">
        <f>'Данные Заявителя'!$B$108*G39</f>
        <v>16.014960000000002</v>
      </c>
      <c r="G126" s="121">
        <f>'Данные Заявителя'!$B$108*H39</f>
        <v>16.014960000000002</v>
      </c>
      <c r="H126" s="121">
        <f>'Данные Заявителя'!$B$108*I39</f>
        <v>16.014960000000002</v>
      </c>
      <c r="I126" s="121">
        <f>'Данные Заявителя'!$B$108*J39</f>
        <v>16.014960000000002</v>
      </c>
      <c r="J126" s="121">
        <f>'Данные Заявителя'!$B$108*L39</f>
        <v>16.655558400000004</v>
      </c>
      <c r="K126" s="121">
        <f>'Данные Заявителя'!$B$108*M39</f>
        <v>16.655558400000004</v>
      </c>
      <c r="L126" s="121">
        <f>'Данные Заявителя'!$B$108*N39</f>
        <v>16.655558400000004</v>
      </c>
      <c r="M126" s="121">
        <f>'Данные Заявителя'!$B$108*O39</f>
        <v>16.655558400000004</v>
      </c>
    </row>
    <row r="127" spans="1:13" s="119" customFormat="1" ht="26.25" thickBot="1" x14ac:dyDescent="0.25">
      <c r="A127" s="123" t="s">
        <v>202</v>
      </c>
      <c r="B127" s="124">
        <f>'Данные Заявителя'!$B$109*B39</f>
        <v>0.52200000000000002</v>
      </c>
      <c r="C127" s="124">
        <f>'Данные Заявителя'!$B$109*C39</f>
        <v>0.77400000000000002</v>
      </c>
      <c r="D127" s="124">
        <f>'Данные Заявителя'!$B$109*D39</f>
        <v>1.0620000000000001</v>
      </c>
      <c r="E127" s="124">
        <f>'Данные Заявителя'!$B$109*E39</f>
        <v>1.0620000000000001</v>
      </c>
      <c r="F127" s="124">
        <f>'Данные Заявителя'!$B$109*G39</f>
        <v>1.1044800000000001</v>
      </c>
      <c r="G127" s="124">
        <f>'Данные Заявителя'!$B$109*H39</f>
        <v>1.1044800000000001</v>
      </c>
      <c r="H127" s="124">
        <f>'Данные Заявителя'!$B$109*I39</f>
        <v>1.1044800000000001</v>
      </c>
      <c r="I127" s="124">
        <f>'Данные Заявителя'!$B$109*J39</f>
        <v>1.1044800000000001</v>
      </c>
      <c r="J127" s="124">
        <f>'Данные Заявителя'!$B$109*L39</f>
        <v>1.1486592000000002</v>
      </c>
      <c r="K127" s="124">
        <f>'Данные Заявителя'!$B$109*M39</f>
        <v>1.1486592000000002</v>
      </c>
      <c r="L127" s="124">
        <f>'Данные Заявителя'!$B$109*N39</f>
        <v>1.1486592000000002</v>
      </c>
      <c r="M127" s="124">
        <f>'Данные Заявителя'!$B$109*O39</f>
        <v>1.1486592000000002</v>
      </c>
    </row>
    <row r="128" spans="1:13" ht="16.5" thickBot="1" x14ac:dyDescent="0.3">
      <c r="A128" s="125" t="s">
        <v>204</v>
      </c>
      <c r="B128" s="126">
        <f>SUM('Данные Заявителя'!E46:E51)</f>
        <v>4</v>
      </c>
      <c r="C128" s="126">
        <f>SUM('Данные Заявителя'!H46:H51)</f>
        <v>5</v>
      </c>
      <c r="D128" s="126">
        <f>SUM('Данные Заявителя'!K46:K51)</f>
        <v>7</v>
      </c>
      <c r="E128" s="126">
        <f>SUM('Данные Заявителя'!N46:N51)</f>
        <v>7</v>
      </c>
      <c r="F128" s="126">
        <f>SUM('Данные Заявителя'!Q46:Q51)</f>
        <v>7</v>
      </c>
      <c r="G128" s="126">
        <f>SUM('Данные Заявителя'!T46:T51)</f>
        <v>7</v>
      </c>
      <c r="H128" s="126">
        <f>SUM('Данные Заявителя'!W46:W51)</f>
        <v>7</v>
      </c>
      <c r="I128" s="126">
        <f>SUM('Данные Заявителя'!Z46:Z51)</f>
        <v>7</v>
      </c>
      <c r="J128" s="126">
        <f>SUM('Данные Заявителя'!AC46:AC51)</f>
        <v>7</v>
      </c>
      <c r="K128" s="126">
        <f>SUM('Данные Заявителя'!AF46:AF51)</f>
        <v>7</v>
      </c>
      <c r="L128" s="126">
        <f>SUM('Данные Заявителя'!AI46:AI51)</f>
        <v>7</v>
      </c>
      <c r="M128" s="126">
        <f>SUM('Данные Заявителя'!AL46:AL51)</f>
        <v>7</v>
      </c>
    </row>
    <row r="129" spans="1:13" ht="32.25" thickBot="1" x14ac:dyDescent="0.3">
      <c r="A129" s="114" t="s">
        <v>203</v>
      </c>
      <c r="B129" s="116">
        <f>B39/SUM('Данные Заявителя'!C46:E51)</f>
        <v>29</v>
      </c>
      <c r="C129" s="116">
        <f>C39/SUM('Данные Заявителя'!F46:H51)</f>
        <v>25.8</v>
      </c>
      <c r="D129" s="116">
        <f>D39/SUM('Данные Заявителя'!I46:K51)</f>
        <v>25.285714285714285</v>
      </c>
      <c r="E129" s="116">
        <f>E39/SUM('Данные Заявителя'!L46:N51)</f>
        <v>25.285714285714285</v>
      </c>
      <c r="F129" s="116">
        <f>G39/SUM('Данные Заявителя'!O46:Q51)</f>
        <v>26.297142857142859</v>
      </c>
      <c r="G129" s="116">
        <f>H39/SUM('Данные Заявителя'!R46:T51)</f>
        <v>26.297142857142859</v>
      </c>
      <c r="H129" s="116">
        <f>I39/SUM('Данные Заявителя'!U46:W51)</f>
        <v>26.297142857142859</v>
      </c>
      <c r="I129" s="116">
        <f>J39/SUM('Данные Заявителя'!X46:Z51)</f>
        <v>26.297142857142859</v>
      </c>
      <c r="J129" s="116">
        <f>L39/SUM('Данные Заявителя'!AA46:AC51)</f>
        <v>27.34902857142858</v>
      </c>
      <c r="K129" s="116">
        <f>M39/SUM('Данные Заявителя'!AD46:AF51)</f>
        <v>27.34902857142858</v>
      </c>
      <c r="L129" s="116">
        <f>N39/SUM('Данные Заявителя'!AG46:AI51)</f>
        <v>27.34902857142858</v>
      </c>
      <c r="M129" s="116">
        <f>O39/SUM('Данные Заявителя'!AJ46:AL51)</f>
        <v>27.34902857142858</v>
      </c>
    </row>
    <row r="130" spans="1:13" ht="48" thickBot="1" x14ac:dyDescent="0.3">
      <c r="A130" s="114" t="s">
        <v>207</v>
      </c>
      <c r="B130" s="115">
        <f>SUM('Данные Заявителя'!C69:E72)/1000</f>
        <v>350</v>
      </c>
      <c r="C130" s="115">
        <f>SUM('Данные Заявителя'!F69:H72)/1000+B130</f>
        <v>350</v>
      </c>
      <c r="D130" s="115">
        <f>SUM('Данные Заявителя'!I69:K72)/1000+C130</f>
        <v>350</v>
      </c>
      <c r="E130" s="115">
        <f>SUM('Данные Заявителя'!L69:N72)/1000+D130</f>
        <v>350</v>
      </c>
      <c r="F130" s="115">
        <f>SUM('Данные Заявителя'!O69:Q72)/1000+E130</f>
        <v>350</v>
      </c>
      <c r="G130" s="115">
        <f>SUM('Данные Заявителя'!R69:T72)/1000+F130</f>
        <v>350</v>
      </c>
      <c r="H130" s="115">
        <f>SUM('Данные Заявителя'!U69:W72)/1000+G130</f>
        <v>350</v>
      </c>
      <c r="I130" s="115">
        <f>SUM('Данные Заявителя'!X69:Z72)/1000+H130</f>
        <v>350</v>
      </c>
      <c r="J130" s="115">
        <f>SUM('Данные Заявителя'!AA69:AC72)/1000+I130</f>
        <v>350</v>
      </c>
      <c r="K130" s="115">
        <f>SUM('Данные Заявителя'!AD69:AF72)/1000+J130</f>
        <v>350</v>
      </c>
      <c r="L130" s="115">
        <f>SUM('Данные Заявителя'!AG69:AI72)/1000+K130</f>
        <v>350</v>
      </c>
      <c r="M130" s="115">
        <f>SUM('Данные Заявителя'!AJ69:AL72)/1000+L130</f>
        <v>350</v>
      </c>
    </row>
    <row r="131" spans="1:13" x14ac:dyDescent="0.25">
      <c r="A131" s="108"/>
      <c r="D131" s="109"/>
      <c r="E131" s="110"/>
      <c r="F131" s="111"/>
    </row>
    <row r="132" spans="1:13" x14ac:dyDescent="0.25">
      <c r="A132" s="108"/>
      <c r="D132" s="109"/>
      <c r="E132" s="110"/>
      <c r="F132" s="111"/>
    </row>
    <row r="133" spans="1:13" x14ac:dyDescent="0.25">
      <c r="A133" s="108"/>
      <c r="B133" s="110"/>
      <c r="D133" s="109"/>
      <c r="E133" s="110"/>
      <c r="F133" s="111"/>
    </row>
    <row r="134" spans="1:13" x14ac:dyDescent="0.25">
      <c r="A134" s="108"/>
      <c r="B134" s="110"/>
      <c r="D134" s="109"/>
      <c r="E134" s="110"/>
      <c r="F134" s="111"/>
    </row>
    <row r="135" spans="1:13" x14ac:dyDescent="0.25">
      <c r="A135" s="108"/>
      <c r="D135" s="109"/>
      <c r="E135" s="110"/>
      <c r="F135" s="111"/>
    </row>
    <row r="136" spans="1:13" x14ac:dyDescent="0.25">
      <c r="A136" s="108"/>
      <c r="D136" s="109"/>
      <c r="E136" s="110"/>
      <c r="F136" s="127"/>
    </row>
    <row r="137" spans="1:13" x14ac:dyDescent="0.25">
      <c r="A137" s="108"/>
      <c r="D137" s="109"/>
      <c r="E137" s="110"/>
      <c r="F137" s="111"/>
    </row>
    <row r="138" spans="1:13" x14ac:dyDescent="0.25">
      <c r="A138" s="108"/>
      <c r="D138" s="109"/>
      <c r="E138" s="110"/>
      <c r="F138" s="111"/>
    </row>
    <row r="139" spans="1:13" x14ac:dyDescent="0.25">
      <c r="A139" s="108"/>
      <c r="D139" s="109"/>
      <c r="E139" s="110"/>
      <c r="F139" s="111"/>
    </row>
    <row r="140" spans="1:13" x14ac:dyDescent="0.25">
      <c r="A140" s="108"/>
      <c r="D140" s="109"/>
      <c r="E140" s="110"/>
      <c r="F140" s="111"/>
    </row>
    <row r="141" spans="1:13" x14ac:dyDescent="0.25">
      <c r="A141" s="108"/>
      <c r="D141" s="109"/>
      <c r="E141" s="110"/>
      <c r="F141" s="111"/>
    </row>
    <row r="142" spans="1:13" x14ac:dyDescent="0.25">
      <c r="A142" s="108"/>
      <c r="D142" s="109"/>
      <c r="E142" s="110"/>
      <c r="F142" s="111"/>
    </row>
    <row r="143" spans="1:13" x14ac:dyDescent="0.25">
      <c r="A143" s="108"/>
      <c r="D143" s="109"/>
      <c r="E143" s="110"/>
      <c r="F143" s="111"/>
    </row>
    <row r="144" spans="1:13" x14ac:dyDescent="0.25">
      <c r="A144" s="108"/>
      <c r="D144" s="109"/>
      <c r="E144" s="110"/>
      <c r="F144" s="111"/>
    </row>
    <row r="145" spans="1:6" x14ac:dyDescent="0.25">
      <c r="A145" s="108"/>
      <c r="D145" s="109"/>
      <c r="E145" s="110"/>
      <c r="F145" s="111"/>
    </row>
    <row r="146" spans="1:6" x14ac:dyDescent="0.25">
      <c r="A146" s="108"/>
      <c r="D146" s="109"/>
      <c r="E146" s="110"/>
      <c r="F146" s="111"/>
    </row>
    <row r="147" spans="1:6" x14ac:dyDescent="0.25">
      <c r="A147" s="108"/>
      <c r="D147" s="109"/>
      <c r="E147" s="110"/>
      <c r="F147" s="111"/>
    </row>
    <row r="148" spans="1:6" x14ac:dyDescent="0.25">
      <c r="A148" s="108"/>
      <c r="D148" s="109"/>
      <c r="E148" s="110"/>
      <c r="F148" s="111"/>
    </row>
    <row r="149" spans="1:6" x14ac:dyDescent="0.25">
      <c r="A149" s="108"/>
      <c r="D149" s="109"/>
      <c r="E149" s="110"/>
      <c r="F149" s="111"/>
    </row>
    <row r="150" spans="1:6" x14ac:dyDescent="0.25">
      <c r="A150" s="108"/>
      <c r="D150" s="109"/>
      <c r="E150" s="110"/>
      <c r="F150" s="111"/>
    </row>
    <row r="151" spans="1:6" x14ac:dyDescent="0.25">
      <c r="A151" s="108"/>
      <c r="D151" s="109"/>
      <c r="E151" s="110"/>
      <c r="F151" s="111"/>
    </row>
    <row r="152" spans="1:6" x14ac:dyDescent="0.25">
      <c r="A152" s="108"/>
      <c r="D152" s="109"/>
      <c r="E152" s="110"/>
      <c r="F152" s="111"/>
    </row>
    <row r="153" spans="1:6" x14ac:dyDescent="0.25">
      <c r="A153" s="108"/>
      <c r="D153" s="109"/>
      <c r="E153" s="110"/>
      <c r="F153" s="111"/>
    </row>
    <row r="154" spans="1:6" x14ac:dyDescent="0.25">
      <c r="A154" s="108"/>
      <c r="D154" s="109"/>
      <c r="E154" s="110"/>
      <c r="F154" s="111"/>
    </row>
    <row r="155" spans="1:6" x14ac:dyDescent="0.25">
      <c r="A155" s="108"/>
      <c r="D155" s="109"/>
      <c r="E155" s="110"/>
      <c r="F155" s="111"/>
    </row>
    <row r="156" spans="1:6" x14ac:dyDescent="0.25">
      <c r="A156" s="108"/>
      <c r="D156" s="109"/>
      <c r="E156" s="110"/>
      <c r="F156" s="111"/>
    </row>
    <row r="157" spans="1:6" x14ac:dyDescent="0.25">
      <c r="A157" s="108"/>
      <c r="D157" s="109"/>
      <c r="E157" s="110"/>
      <c r="F157" s="111"/>
    </row>
    <row r="158" spans="1:6" x14ac:dyDescent="0.25">
      <c r="A158" s="108"/>
      <c r="D158" s="109"/>
      <c r="E158" s="110"/>
      <c r="F158" s="111"/>
    </row>
    <row r="159" spans="1:6" x14ac:dyDescent="0.25">
      <c r="A159" s="108"/>
      <c r="D159" s="109"/>
      <c r="E159" s="110"/>
      <c r="F159" s="111"/>
    </row>
    <row r="160" spans="1:6" x14ac:dyDescent="0.25">
      <c r="A160" s="108"/>
      <c r="D160" s="109"/>
      <c r="E160" s="110"/>
      <c r="F160" s="111"/>
    </row>
    <row r="161" spans="1:6" x14ac:dyDescent="0.25">
      <c r="A161" s="108"/>
      <c r="D161" s="109"/>
      <c r="E161" s="110"/>
      <c r="F161" s="111"/>
    </row>
    <row r="162" spans="1:6" x14ac:dyDescent="0.25">
      <c r="A162" s="108"/>
      <c r="D162" s="109"/>
      <c r="E162" s="110"/>
      <c r="F162" s="111"/>
    </row>
    <row r="163" spans="1:6" x14ac:dyDescent="0.25">
      <c r="A163" s="108"/>
      <c r="D163" s="109"/>
      <c r="E163" s="110"/>
      <c r="F163" s="111"/>
    </row>
    <row r="164" spans="1:6" x14ac:dyDescent="0.25">
      <c r="A164" s="108"/>
      <c r="D164" s="109"/>
      <c r="E164" s="110"/>
      <c r="F164" s="111"/>
    </row>
    <row r="165" spans="1:6" x14ac:dyDescent="0.25">
      <c r="A165" s="108"/>
      <c r="D165" s="109"/>
      <c r="E165" s="110"/>
      <c r="F165" s="111"/>
    </row>
    <row r="166" spans="1:6" x14ac:dyDescent="0.25">
      <c r="A166" s="108"/>
      <c r="D166" s="109"/>
      <c r="E166" s="110"/>
      <c r="F166" s="111"/>
    </row>
    <row r="167" spans="1:6" x14ac:dyDescent="0.25">
      <c r="A167" s="108"/>
      <c r="D167" s="109"/>
      <c r="E167" s="110"/>
      <c r="F167" s="111"/>
    </row>
    <row r="168" spans="1:6" x14ac:dyDescent="0.25">
      <c r="A168" s="108"/>
      <c r="D168" s="109"/>
      <c r="E168" s="110"/>
      <c r="F168" s="111"/>
    </row>
    <row r="169" spans="1:6" x14ac:dyDescent="0.25">
      <c r="A169" s="108"/>
      <c r="D169" s="109"/>
      <c r="E169" s="110"/>
      <c r="F169" s="111"/>
    </row>
    <row r="170" spans="1:6" x14ac:dyDescent="0.25">
      <c r="A170" s="108"/>
      <c r="D170" s="109"/>
      <c r="E170" s="110"/>
      <c r="F170" s="111"/>
    </row>
    <row r="171" spans="1:6" x14ac:dyDescent="0.25">
      <c r="A171" s="108"/>
      <c r="D171" s="109"/>
      <c r="E171" s="110"/>
      <c r="F171" s="111"/>
    </row>
    <row r="172" spans="1:6" x14ac:dyDescent="0.25">
      <c r="A172" s="108"/>
      <c r="D172" s="109"/>
      <c r="E172" s="110"/>
      <c r="F172" s="111"/>
    </row>
    <row r="173" spans="1:6" x14ac:dyDescent="0.25">
      <c r="A173" s="108"/>
      <c r="D173" s="109"/>
      <c r="E173" s="110"/>
      <c r="F173" s="111"/>
    </row>
    <row r="174" spans="1:6" x14ac:dyDescent="0.25">
      <c r="A174" s="108"/>
      <c r="D174" s="109"/>
      <c r="E174" s="110"/>
      <c r="F174" s="111"/>
    </row>
    <row r="175" spans="1:6" x14ac:dyDescent="0.25">
      <c r="A175" s="108"/>
      <c r="D175" s="109"/>
      <c r="E175" s="110"/>
      <c r="F175" s="111"/>
    </row>
    <row r="176" spans="1:6" x14ac:dyDescent="0.25">
      <c r="A176" s="108"/>
      <c r="D176" s="109"/>
      <c r="E176" s="110"/>
      <c r="F176" s="111"/>
    </row>
    <row r="177" spans="1:6" x14ac:dyDescent="0.25">
      <c r="A177" s="108"/>
      <c r="D177" s="109"/>
      <c r="E177" s="110"/>
      <c r="F177" s="111"/>
    </row>
    <row r="178" spans="1:6" x14ac:dyDescent="0.25">
      <c r="A178" s="108"/>
      <c r="D178" s="109"/>
      <c r="E178" s="110"/>
      <c r="F178" s="111"/>
    </row>
    <row r="179" spans="1:6" x14ac:dyDescent="0.25">
      <c r="A179" s="108"/>
      <c r="D179" s="109"/>
      <c r="E179" s="110"/>
      <c r="F179" s="111"/>
    </row>
    <row r="180" spans="1:6" x14ac:dyDescent="0.25">
      <c r="A180" s="108"/>
      <c r="D180" s="109"/>
      <c r="E180" s="110"/>
      <c r="F180" s="111"/>
    </row>
    <row r="181" spans="1:6" x14ac:dyDescent="0.25">
      <c r="A181" s="108"/>
      <c r="D181" s="109"/>
      <c r="E181" s="110"/>
      <c r="F181" s="111"/>
    </row>
    <row r="182" spans="1:6" x14ac:dyDescent="0.25">
      <c r="A182" s="108"/>
      <c r="D182" s="109"/>
      <c r="E182" s="110"/>
      <c r="F182" s="111"/>
    </row>
    <row r="183" spans="1:6" x14ac:dyDescent="0.25">
      <c r="A183" s="108"/>
      <c r="D183" s="109"/>
      <c r="E183" s="110"/>
      <c r="F183" s="111"/>
    </row>
    <row r="184" spans="1:6" x14ac:dyDescent="0.25">
      <c r="A184" s="108"/>
      <c r="D184" s="109"/>
      <c r="E184" s="110"/>
      <c r="F184" s="111"/>
    </row>
    <row r="185" spans="1:6" x14ac:dyDescent="0.25">
      <c r="A185" s="108"/>
      <c r="D185" s="109"/>
      <c r="E185" s="110"/>
      <c r="F185" s="111"/>
    </row>
    <row r="186" spans="1:6" x14ac:dyDescent="0.25">
      <c r="A186" s="108"/>
      <c r="D186" s="109"/>
      <c r="E186" s="110"/>
      <c r="F186" s="111"/>
    </row>
    <row r="187" spans="1:6" x14ac:dyDescent="0.25">
      <c r="A187" s="108"/>
      <c r="D187" s="109"/>
      <c r="E187" s="110"/>
      <c r="F187" s="111"/>
    </row>
    <row r="188" spans="1:6" x14ac:dyDescent="0.25">
      <c r="A188" s="108"/>
      <c r="D188" s="109"/>
      <c r="E188" s="110"/>
      <c r="F188" s="111"/>
    </row>
    <row r="189" spans="1:6" x14ac:dyDescent="0.25">
      <c r="A189" s="108"/>
      <c r="D189" s="109"/>
      <c r="E189" s="110"/>
      <c r="F189" s="111"/>
    </row>
    <row r="190" spans="1:6" x14ac:dyDescent="0.25">
      <c r="A190" s="108"/>
      <c r="D190" s="109"/>
      <c r="E190" s="110"/>
      <c r="F190" s="111"/>
    </row>
    <row r="191" spans="1:6" x14ac:dyDescent="0.25">
      <c r="A191" s="108"/>
      <c r="D191" s="109"/>
      <c r="E191" s="110"/>
      <c r="F191" s="111"/>
    </row>
    <row r="192" spans="1:6" x14ac:dyDescent="0.25">
      <c r="A192" s="108"/>
      <c r="D192" s="109"/>
      <c r="E192" s="110"/>
      <c r="F192" s="111"/>
    </row>
    <row r="193" spans="1:6" x14ac:dyDescent="0.25">
      <c r="A193" s="108"/>
      <c r="D193" s="109"/>
      <c r="E193" s="110"/>
      <c r="F193" s="111"/>
    </row>
    <row r="194" spans="1:6" x14ac:dyDescent="0.25">
      <c r="A194" s="108"/>
      <c r="D194" s="109"/>
      <c r="E194" s="110"/>
      <c r="F194" s="111"/>
    </row>
    <row r="195" spans="1:6" x14ac:dyDescent="0.25">
      <c r="A195" s="108"/>
      <c r="D195" s="109"/>
      <c r="E195" s="110"/>
      <c r="F195" s="111"/>
    </row>
    <row r="196" spans="1:6" x14ac:dyDescent="0.25">
      <c r="A196" s="108"/>
      <c r="D196" s="109"/>
      <c r="E196" s="110"/>
      <c r="F196" s="111"/>
    </row>
    <row r="197" spans="1:6" x14ac:dyDescent="0.25">
      <c r="A197" s="108"/>
      <c r="D197" s="109"/>
      <c r="E197" s="110"/>
      <c r="F197" s="111"/>
    </row>
    <row r="198" spans="1:6" x14ac:dyDescent="0.25">
      <c r="A198" s="108"/>
      <c r="D198" s="109"/>
      <c r="E198" s="110"/>
      <c r="F198" s="111"/>
    </row>
    <row r="199" spans="1:6" x14ac:dyDescent="0.25">
      <c r="A199" s="108"/>
      <c r="D199" s="109"/>
      <c r="E199" s="110"/>
      <c r="F199" s="111"/>
    </row>
    <row r="200" spans="1:6" x14ac:dyDescent="0.25">
      <c r="A200" s="108"/>
      <c r="D200" s="109"/>
      <c r="E200" s="110"/>
      <c r="F200" s="111"/>
    </row>
    <row r="201" spans="1:6" x14ac:dyDescent="0.25">
      <c r="A201" s="108"/>
      <c r="D201" s="109"/>
      <c r="E201" s="110"/>
      <c r="F201" s="111"/>
    </row>
    <row r="202" spans="1:6" x14ac:dyDescent="0.25">
      <c r="A202" s="108"/>
      <c r="D202" s="109"/>
      <c r="E202" s="110"/>
      <c r="F202" s="111"/>
    </row>
    <row r="203" spans="1:6" x14ac:dyDescent="0.25">
      <c r="A203" s="108"/>
      <c r="D203" s="109"/>
      <c r="E203" s="110"/>
      <c r="F203" s="111"/>
    </row>
    <row r="204" spans="1:6" x14ac:dyDescent="0.25">
      <c r="A204" s="108"/>
      <c r="D204" s="109"/>
      <c r="E204" s="110"/>
      <c r="F204" s="111"/>
    </row>
    <row r="205" spans="1:6" x14ac:dyDescent="0.25">
      <c r="A205" s="108"/>
      <c r="D205" s="109"/>
      <c r="E205" s="110"/>
      <c r="F205" s="111"/>
    </row>
    <row r="206" spans="1:6" x14ac:dyDescent="0.25">
      <c r="A206" s="108"/>
      <c r="D206" s="109"/>
      <c r="E206" s="110"/>
      <c r="F206" s="111"/>
    </row>
    <row r="207" spans="1:6" x14ac:dyDescent="0.25">
      <c r="A207" s="108"/>
      <c r="D207" s="109"/>
      <c r="E207" s="110"/>
      <c r="F207" s="111"/>
    </row>
    <row r="208" spans="1:6" x14ac:dyDescent="0.25">
      <c r="A208" s="108"/>
      <c r="D208" s="109"/>
      <c r="E208" s="110"/>
      <c r="F208" s="111"/>
    </row>
    <row r="209" spans="1:6" x14ac:dyDescent="0.25">
      <c r="A209" s="108"/>
      <c r="D209" s="109"/>
      <c r="E209" s="110"/>
      <c r="F209" s="111"/>
    </row>
    <row r="210" spans="1:6" x14ac:dyDescent="0.25">
      <c r="A210" s="108"/>
      <c r="D210" s="109"/>
      <c r="E210" s="110"/>
      <c r="F210" s="111"/>
    </row>
    <row r="211" spans="1:6" x14ac:dyDescent="0.25">
      <c r="A211" s="108"/>
      <c r="D211" s="109"/>
      <c r="E211" s="110"/>
      <c r="F211" s="111"/>
    </row>
    <row r="212" spans="1:6" x14ac:dyDescent="0.25">
      <c r="A212" s="108"/>
      <c r="D212" s="109"/>
      <c r="E212" s="110"/>
      <c r="F212" s="111"/>
    </row>
    <row r="213" spans="1:6" x14ac:dyDescent="0.25">
      <c r="A213" s="108"/>
      <c r="D213" s="109"/>
      <c r="E213" s="110"/>
      <c r="F213" s="111"/>
    </row>
    <row r="214" spans="1:6" x14ac:dyDescent="0.25">
      <c r="A214" s="108"/>
      <c r="D214" s="109"/>
      <c r="E214" s="110"/>
      <c r="F214" s="111"/>
    </row>
    <row r="215" spans="1:6" x14ac:dyDescent="0.25">
      <c r="A215" s="108"/>
      <c r="D215" s="109"/>
      <c r="E215" s="110"/>
      <c r="F215" s="111"/>
    </row>
    <row r="216" spans="1:6" x14ac:dyDescent="0.25">
      <c r="A216" s="108"/>
      <c r="D216" s="109"/>
      <c r="E216" s="110"/>
      <c r="F216" s="111"/>
    </row>
    <row r="217" spans="1:6" x14ac:dyDescent="0.25">
      <c r="A217" s="108"/>
      <c r="D217" s="109"/>
      <c r="E217" s="110"/>
      <c r="F217" s="111"/>
    </row>
    <row r="218" spans="1:6" x14ac:dyDescent="0.25">
      <c r="A218" s="108"/>
      <c r="D218" s="109"/>
      <c r="E218" s="110"/>
      <c r="F218" s="111"/>
    </row>
    <row r="219" spans="1:6" x14ac:dyDescent="0.25">
      <c r="A219" s="108"/>
      <c r="D219" s="109"/>
      <c r="E219" s="110"/>
      <c r="F219" s="111"/>
    </row>
    <row r="220" spans="1:6" x14ac:dyDescent="0.25">
      <c r="A220" s="108"/>
      <c r="D220" s="109"/>
      <c r="E220" s="110"/>
      <c r="F220" s="111"/>
    </row>
    <row r="221" spans="1:6" x14ac:dyDescent="0.25">
      <c r="A221" s="108"/>
      <c r="D221" s="109"/>
      <c r="E221" s="110"/>
      <c r="F221" s="111"/>
    </row>
    <row r="222" spans="1:6" x14ac:dyDescent="0.25">
      <c r="A222" s="108"/>
      <c r="D222" s="109"/>
      <c r="E222" s="110"/>
      <c r="F222" s="111"/>
    </row>
    <row r="223" spans="1:6" x14ac:dyDescent="0.25">
      <c r="A223" s="108"/>
      <c r="D223" s="109"/>
      <c r="E223" s="110"/>
      <c r="F223" s="111"/>
    </row>
    <row r="224" spans="1:6" x14ac:dyDescent="0.25">
      <c r="A224" s="108"/>
      <c r="D224" s="109"/>
      <c r="E224" s="110"/>
      <c r="F224" s="111"/>
    </row>
    <row r="225" spans="1:6" x14ac:dyDescent="0.25">
      <c r="A225" s="108"/>
      <c r="D225" s="109"/>
      <c r="E225" s="110"/>
      <c r="F225" s="111"/>
    </row>
    <row r="226" spans="1:6" x14ac:dyDescent="0.25">
      <c r="A226" s="108"/>
      <c r="D226" s="109"/>
      <c r="E226" s="110"/>
      <c r="F226" s="111"/>
    </row>
    <row r="227" spans="1:6" x14ac:dyDescent="0.25">
      <c r="A227" s="108"/>
      <c r="D227" s="109"/>
      <c r="E227" s="110"/>
      <c r="F227" s="111"/>
    </row>
    <row r="228" spans="1:6" x14ac:dyDescent="0.25">
      <c r="A228" s="108"/>
      <c r="D228" s="109"/>
      <c r="E228" s="110"/>
      <c r="F228" s="111"/>
    </row>
    <row r="229" spans="1:6" x14ac:dyDescent="0.25">
      <c r="A229" s="108"/>
      <c r="D229" s="109"/>
      <c r="E229" s="110"/>
      <c r="F229" s="111"/>
    </row>
    <row r="230" spans="1:6" x14ac:dyDescent="0.25">
      <c r="A230" s="108"/>
      <c r="D230" s="109"/>
      <c r="E230" s="110"/>
      <c r="F230" s="111"/>
    </row>
    <row r="231" spans="1:6" x14ac:dyDescent="0.25">
      <c r="A231" s="108"/>
      <c r="D231" s="109"/>
      <c r="E231" s="110"/>
      <c r="F231" s="111"/>
    </row>
    <row r="232" spans="1:6" x14ac:dyDescent="0.25">
      <c r="A232" s="108"/>
      <c r="D232" s="109"/>
      <c r="E232" s="110"/>
      <c r="F232" s="111"/>
    </row>
    <row r="233" spans="1:6" x14ac:dyDescent="0.25">
      <c r="A233" s="108"/>
      <c r="D233" s="109"/>
      <c r="E233" s="110"/>
      <c r="F233" s="111"/>
    </row>
    <row r="234" spans="1:6" x14ac:dyDescent="0.25">
      <c r="A234" s="108"/>
      <c r="D234" s="109"/>
      <c r="E234" s="110"/>
      <c r="F234" s="111"/>
    </row>
    <row r="235" spans="1:6" x14ac:dyDescent="0.25">
      <c r="A235" s="108"/>
      <c r="D235" s="109"/>
      <c r="E235" s="110"/>
      <c r="F235" s="111"/>
    </row>
    <row r="236" spans="1:6" x14ac:dyDescent="0.25">
      <c r="A236" s="108"/>
      <c r="D236" s="109"/>
      <c r="E236" s="110"/>
      <c r="F236" s="111"/>
    </row>
    <row r="237" spans="1:6" x14ac:dyDescent="0.25">
      <c r="A237" s="108"/>
      <c r="D237" s="109"/>
      <c r="E237" s="110"/>
      <c r="F237" s="111"/>
    </row>
    <row r="238" spans="1:6" x14ac:dyDescent="0.25">
      <c r="A238" s="108"/>
      <c r="D238" s="109"/>
      <c r="E238" s="110"/>
      <c r="F238" s="111"/>
    </row>
    <row r="239" spans="1:6" x14ac:dyDescent="0.25">
      <c r="A239" s="108"/>
      <c r="D239" s="109"/>
      <c r="E239" s="110"/>
      <c r="F239" s="111"/>
    </row>
    <row r="240" spans="1:6" x14ac:dyDescent="0.25">
      <c r="A240" s="108"/>
      <c r="D240" s="109"/>
      <c r="E240" s="110"/>
      <c r="F240" s="111"/>
    </row>
    <row r="241" spans="1:6" x14ac:dyDescent="0.25">
      <c r="A241" s="108"/>
      <c r="D241" s="109"/>
      <c r="E241" s="110"/>
      <c r="F241" s="111"/>
    </row>
    <row r="242" spans="1:6" x14ac:dyDescent="0.25">
      <c r="A242" s="108"/>
      <c r="D242" s="109"/>
      <c r="E242" s="110"/>
      <c r="F242" s="111"/>
    </row>
    <row r="243" spans="1:6" x14ac:dyDescent="0.25">
      <c r="A243" s="108"/>
      <c r="D243" s="109"/>
      <c r="E243" s="110"/>
      <c r="F243" s="111"/>
    </row>
    <row r="244" spans="1:6" x14ac:dyDescent="0.25">
      <c r="A244" s="108"/>
      <c r="D244" s="109"/>
      <c r="E244" s="110"/>
      <c r="F244" s="111"/>
    </row>
    <row r="245" spans="1:6" x14ac:dyDescent="0.25">
      <c r="A245" s="108"/>
      <c r="D245" s="109"/>
      <c r="E245" s="110"/>
      <c r="F245" s="111"/>
    </row>
    <row r="246" spans="1:6" x14ac:dyDescent="0.25">
      <c r="A246" s="108"/>
      <c r="D246" s="109"/>
      <c r="E246" s="110"/>
      <c r="F246" s="111"/>
    </row>
    <row r="247" spans="1:6" x14ac:dyDescent="0.25">
      <c r="A247" s="108"/>
      <c r="D247" s="109"/>
      <c r="E247" s="110"/>
      <c r="F247" s="111"/>
    </row>
    <row r="248" spans="1:6" x14ac:dyDescent="0.25">
      <c r="A248" s="108"/>
      <c r="D248" s="109"/>
      <c r="E248" s="110"/>
      <c r="F248" s="111"/>
    </row>
    <row r="249" spans="1:6" x14ac:dyDescent="0.25">
      <c r="A249" s="108"/>
      <c r="D249" s="109"/>
      <c r="E249" s="110"/>
      <c r="F249" s="111"/>
    </row>
    <row r="250" spans="1:6" x14ac:dyDescent="0.25">
      <c r="A250" s="108"/>
      <c r="D250" s="109"/>
      <c r="E250" s="110"/>
      <c r="F250" s="111"/>
    </row>
    <row r="251" spans="1:6" x14ac:dyDescent="0.25">
      <c r="A251" s="108"/>
      <c r="D251" s="109"/>
      <c r="E251" s="110"/>
      <c r="F251" s="111"/>
    </row>
    <row r="252" spans="1:6" x14ac:dyDescent="0.25">
      <c r="A252" s="108"/>
      <c r="D252" s="109"/>
      <c r="E252" s="110"/>
      <c r="F252" s="111"/>
    </row>
    <row r="253" spans="1:6" x14ac:dyDescent="0.25">
      <c r="A253" s="108"/>
      <c r="D253" s="109"/>
      <c r="E253" s="110"/>
      <c r="F253" s="111"/>
    </row>
    <row r="254" spans="1:6" x14ac:dyDescent="0.25">
      <c r="A254" s="108"/>
      <c r="D254" s="109"/>
      <c r="E254" s="110"/>
      <c r="F254" s="111"/>
    </row>
    <row r="255" spans="1:6" x14ac:dyDescent="0.25">
      <c r="A255" s="108"/>
      <c r="D255" s="109"/>
      <c r="E255" s="110"/>
      <c r="F255" s="111"/>
    </row>
    <row r="256" spans="1:6" x14ac:dyDescent="0.25">
      <c r="A256" s="108"/>
      <c r="D256" s="109"/>
      <c r="E256" s="110"/>
      <c r="F256" s="111"/>
    </row>
    <row r="257" spans="1:6" x14ac:dyDescent="0.25">
      <c r="A257" s="108"/>
      <c r="D257" s="109"/>
      <c r="E257" s="110"/>
      <c r="F257" s="111"/>
    </row>
    <row r="258" spans="1:6" x14ac:dyDescent="0.25">
      <c r="A258" s="108"/>
      <c r="D258" s="109"/>
      <c r="E258" s="110"/>
      <c r="F258" s="111"/>
    </row>
    <row r="259" spans="1:6" x14ac:dyDescent="0.25">
      <c r="A259" s="108"/>
      <c r="D259" s="109"/>
      <c r="E259" s="110"/>
      <c r="F259" s="111"/>
    </row>
    <row r="260" spans="1:6" x14ac:dyDescent="0.25">
      <c r="A260" s="108"/>
      <c r="D260" s="109"/>
      <c r="E260" s="110"/>
      <c r="F260" s="111"/>
    </row>
    <row r="261" spans="1:6" x14ac:dyDescent="0.25">
      <c r="A261" s="108"/>
      <c r="D261" s="109"/>
      <c r="E261" s="110"/>
      <c r="F261" s="111"/>
    </row>
    <row r="262" spans="1:6" x14ac:dyDescent="0.25">
      <c r="A262" s="108"/>
      <c r="D262" s="109"/>
      <c r="E262" s="110"/>
      <c r="F262" s="111"/>
    </row>
    <row r="263" spans="1:6" x14ac:dyDescent="0.25">
      <c r="A263" s="108"/>
      <c r="D263" s="109"/>
      <c r="E263" s="110"/>
      <c r="F263" s="111"/>
    </row>
    <row r="264" spans="1:6" x14ac:dyDescent="0.25">
      <c r="A264" s="108"/>
      <c r="D264" s="109"/>
      <c r="E264" s="110"/>
      <c r="F264" s="111"/>
    </row>
    <row r="265" spans="1:6" x14ac:dyDescent="0.25">
      <c r="A265" s="108"/>
      <c r="D265" s="109"/>
      <c r="E265" s="110"/>
      <c r="F265" s="111"/>
    </row>
    <row r="266" spans="1:6" x14ac:dyDescent="0.25">
      <c r="A266" s="108"/>
      <c r="D266" s="109"/>
      <c r="E266" s="110"/>
      <c r="F266" s="111"/>
    </row>
    <row r="267" spans="1:6" x14ac:dyDescent="0.25">
      <c r="A267" s="108"/>
      <c r="D267" s="109"/>
      <c r="E267" s="110"/>
      <c r="F267" s="111"/>
    </row>
    <row r="268" spans="1:6" x14ac:dyDescent="0.25">
      <c r="A268" s="108"/>
      <c r="D268" s="109"/>
      <c r="E268" s="110"/>
      <c r="F268" s="111"/>
    </row>
    <row r="269" spans="1:6" x14ac:dyDescent="0.25">
      <c r="A269" s="108"/>
      <c r="D269" s="109"/>
      <c r="E269" s="110"/>
      <c r="F269" s="111"/>
    </row>
    <row r="270" spans="1:6" x14ac:dyDescent="0.25">
      <c r="A270" s="108"/>
      <c r="D270" s="109"/>
      <c r="E270" s="110"/>
      <c r="F270" s="111"/>
    </row>
    <row r="271" spans="1:6" x14ac:dyDescent="0.25">
      <c r="A271" s="108"/>
      <c r="D271" s="109"/>
      <c r="E271" s="110"/>
      <c r="F271" s="111"/>
    </row>
    <row r="272" spans="1:6" x14ac:dyDescent="0.25">
      <c r="A272" s="108"/>
      <c r="D272" s="109"/>
      <c r="E272" s="110"/>
      <c r="F272" s="111"/>
    </row>
    <row r="273" spans="1:14" x14ac:dyDescent="0.25">
      <c r="A273" s="108"/>
      <c r="D273" s="109"/>
      <c r="E273" s="110"/>
      <c r="F273" s="111"/>
    </row>
    <row r="274" spans="1:14" x14ac:dyDescent="0.25">
      <c r="A274" s="108"/>
      <c r="D274" s="109"/>
      <c r="E274" s="110"/>
      <c r="F274" s="111"/>
    </row>
    <row r="275" spans="1:14" x14ac:dyDescent="0.25">
      <c r="A275" s="108"/>
      <c r="D275" s="109"/>
      <c r="E275" s="110"/>
      <c r="F275" s="111"/>
    </row>
    <row r="276" spans="1:14" x14ac:dyDescent="0.25">
      <c r="A276" s="108"/>
      <c r="D276" s="109"/>
      <c r="E276" s="110"/>
      <c r="F276" s="111"/>
    </row>
    <row r="277" spans="1:14" x14ac:dyDescent="0.25">
      <c r="A277" s="108"/>
      <c r="D277" s="109"/>
      <c r="E277" s="110"/>
      <c r="F277" s="111"/>
    </row>
    <row r="278" spans="1:14" x14ac:dyDescent="0.25">
      <c r="A278" s="108"/>
      <c r="D278" s="109"/>
      <c r="E278" s="110"/>
      <c r="F278" s="111"/>
    </row>
    <row r="279" spans="1:14" x14ac:dyDescent="0.25">
      <c r="A279" s="108"/>
      <c r="D279" s="109"/>
      <c r="E279" s="110"/>
      <c r="F279" s="111"/>
    </row>
    <row r="280" spans="1:14" x14ac:dyDescent="0.25">
      <c r="A280" s="108"/>
      <c r="D280" s="109"/>
      <c r="E280" s="110"/>
      <c r="F280" s="111"/>
    </row>
    <row r="281" spans="1:14" x14ac:dyDescent="0.25">
      <c r="A281" s="108"/>
      <c r="D281" s="109"/>
      <c r="E281" s="110"/>
      <c r="F281" s="111"/>
    </row>
    <row r="282" spans="1:14" x14ac:dyDescent="0.25">
      <c r="A282" s="108"/>
      <c r="D282" s="109"/>
      <c r="E282" s="110"/>
      <c r="F282" s="111"/>
    </row>
    <row r="283" spans="1:14" x14ac:dyDescent="0.25">
      <c r="A283" s="108"/>
      <c r="D283" s="109"/>
      <c r="E283" s="110"/>
      <c r="F283" s="111"/>
    </row>
    <row r="284" spans="1:14" x14ac:dyDescent="0.25">
      <c r="A284" s="108"/>
      <c r="D284" s="109"/>
      <c r="E284" s="110"/>
      <c r="F284" s="111"/>
    </row>
    <row r="285" spans="1:14" x14ac:dyDescent="0.25">
      <c r="A285" s="108"/>
      <c r="D285" s="109"/>
      <c r="E285" s="110"/>
      <c r="F285" s="111"/>
    </row>
    <row r="286" spans="1:14" outlineLevel="1" x14ac:dyDescent="0.25">
      <c r="A286" s="107" t="s">
        <v>170</v>
      </c>
      <c r="B286" s="34" t="s">
        <v>183</v>
      </c>
      <c r="C286" s="107" t="s">
        <v>171</v>
      </c>
      <c r="D286" s="107" t="s">
        <v>172</v>
      </c>
      <c r="E286" s="107" t="s">
        <v>173</v>
      </c>
      <c r="F286" s="107" t="s">
        <v>174</v>
      </c>
      <c r="G286" s="107" t="s">
        <v>175</v>
      </c>
      <c r="H286" s="107" t="s">
        <v>176</v>
      </c>
      <c r="I286" s="107" t="s">
        <v>177</v>
      </c>
      <c r="J286" s="107" t="s">
        <v>178</v>
      </c>
      <c r="K286" s="107" t="s">
        <v>179</v>
      </c>
      <c r="L286" s="107" t="s">
        <v>180</v>
      </c>
      <c r="M286" s="107" t="s">
        <v>181</v>
      </c>
      <c r="N286" s="107" t="s">
        <v>182</v>
      </c>
    </row>
    <row r="287" spans="1:14" outlineLevel="1" x14ac:dyDescent="0.25">
      <c r="A287" s="34" t="s">
        <v>184</v>
      </c>
      <c r="B287" s="128">
        <v>0</v>
      </c>
      <c r="C287" s="128">
        <f t="shared" ref="C287:N287" si="88">B85</f>
        <v>-702.72199999999998</v>
      </c>
      <c r="D287" s="128">
        <f t="shared" si="88"/>
        <v>-544.99599999999998</v>
      </c>
      <c r="E287" s="128">
        <f t="shared" si="88"/>
        <v>-461.00800000000015</v>
      </c>
      <c r="F287" s="128">
        <f t="shared" si="88"/>
        <v>-23.770000000000323</v>
      </c>
      <c r="G287" s="128">
        <f t="shared" si="88"/>
        <v>683.59351999999956</v>
      </c>
      <c r="H287" s="128">
        <f t="shared" si="88"/>
        <v>1390.9570399999993</v>
      </c>
      <c r="I287" s="128">
        <f t="shared" si="88"/>
        <v>2347.9505599999993</v>
      </c>
      <c r="J287" s="128">
        <f t="shared" si="88"/>
        <v>3429.7590799999989</v>
      </c>
      <c r="K287" s="128">
        <f t="shared" si="88"/>
        <v>4587.640440799998</v>
      </c>
      <c r="L287" s="128">
        <f t="shared" si="88"/>
        <v>5745.5218015999981</v>
      </c>
      <c r="M287" s="128">
        <f t="shared" si="88"/>
        <v>7300.3148623999978</v>
      </c>
      <c r="N287" s="128">
        <f t="shared" si="88"/>
        <v>8855.1079231999975</v>
      </c>
    </row>
    <row r="288" spans="1:14" outlineLevel="1" x14ac:dyDescent="0.25">
      <c r="A288" s="34" t="s">
        <v>162</v>
      </c>
      <c r="B288" s="128">
        <f t="shared" ref="B288:M288" si="89">B82*B290</f>
        <v>-337.10602323391078</v>
      </c>
      <c r="C288" s="128">
        <f t="shared" si="89"/>
        <v>0</v>
      </c>
      <c r="D288" s="128">
        <f t="shared" si="89"/>
        <v>0</v>
      </c>
      <c r="E288" s="128">
        <f t="shared" si="89"/>
        <v>0</v>
      </c>
      <c r="F288" s="128">
        <f t="shared" si="89"/>
        <v>0</v>
      </c>
      <c r="G288" s="128">
        <f t="shared" si="89"/>
        <v>0</v>
      </c>
      <c r="H288" s="128">
        <f t="shared" si="89"/>
        <v>0</v>
      </c>
      <c r="I288" s="128">
        <f t="shared" si="89"/>
        <v>0</v>
      </c>
      <c r="J288" s="128">
        <f t="shared" si="89"/>
        <v>0</v>
      </c>
      <c r="K288" s="128">
        <f t="shared" si="89"/>
        <v>0</v>
      </c>
      <c r="L288" s="128">
        <f t="shared" si="89"/>
        <v>0</v>
      </c>
      <c r="M288" s="128">
        <f t="shared" si="89"/>
        <v>0</v>
      </c>
    </row>
    <row r="289" spans="1:13" outlineLevel="1" x14ac:dyDescent="0.25">
      <c r="A289" s="34" t="s">
        <v>163</v>
      </c>
      <c r="B289" s="128">
        <f t="shared" ref="B289:M289" si="90">B83*B290</f>
        <v>-339.72774493460417</v>
      </c>
      <c r="C289" s="128">
        <f t="shared" si="90"/>
        <v>146.318831945022</v>
      </c>
      <c r="D289" s="128">
        <f t="shared" si="90"/>
        <v>75.043424376586302</v>
      </c>
      <c r="E289" s="128">
        <f t="shared" si="90"/>
        <v>376.28055077452649</v>
      </c>
      <c r="F289" s="128">
        <f t="shared" si="90"/>
        <v>586.32039146284944</v>
      </c>
      <c r="G289" s="128">
        <f t="shared" si="90"/>
        <v>564.72038716283134</v>
      </c>
      <c r="H289" s="128">
        <f t="shared" si="90"/>
        <v>735.86521342040817</v>
      </c>
      <c r="I289" s="128">
        <f t="shared" si="90"/>
        <v>801.19483589632648</v>
      </c>
      <c r="J289" s="128">
        <f t="shared" si="90"/>
        <v>825.94337640552737</v>
      </c>
      <c r="K289" s="128">
        <f t="shared" si="90"/>
        <v>795.5156772470184</v>
      </c>
      <c r="L289" s="128">
        <f t="shared" si="90"/>
        <v>1028.8587170620456</v>
      </c>
      <c r="M289" s="128">
        <f t="shared" si="90"/>
        <v>990.95563022379883</v>
      </c>
    </row>
    <row r="290" spans="1:13" outlineLevel="1" x14ac:dyDescent="0.25">
      <c r="A290" s="34" t="str">
        <f t="shared" ref="A290:M290" si="91">A87</f>
        <v>Коэффициент дисконтирования</v>
      </c>
      <c r="B290" s="129">
        <f t="shared" si="91"/>
        <v>0.96316006638260221</v>
      </c>
      <c r="C290" s="129">
        <f t="shared" si="91"/>
        <v>0.92767731347413873</v>
      </c>
      <c r="D290" s="129">
        <f t="shared" si="91"/>
        <v>0.89350174282738548</v>
      </c>
      <c r="E290" s="129">
        <f t="shared" si="91"/>
        <v>0.86058519793459543</v>
      </c>
      <c r="F290" s="129">
        <f t="shared" si="91"/>
        <v>0.82888129637056984</v>
      </c>
      <c r="G290" s="129">
        <f t="shared" si="91"/>
        <v>0.79834536443557536</v>
      </c>
      <c r="H290" s="129">
        <f t="shared" si="91"/>
        <v>0.76893437420601152</v>
      </c>
      <c r="I290" s="129">
        <f t="shared" si="91"/>
        <v>0.74060688290412668</v>
      </c>
      <c r="J290" s="129">
        <f t="shared" si="91"/>
        <v>0.71332297450135074</v>
      </c>
      <c r="K290" s="129">
        <f t="shared" si="91"/>
        <v>0.68704420347295625</v>
      </c>
      <c r="L290" s="129">
        <f t="shared" si="91"/>
        <v>0.66173354062479461</v>
      </c>
      <c r="M290" s="129">
        <f t="shared" si="91"/>
        <v>0.63735532091577163</v>
      </c>
    </row>
    <row r="310" spans="14:14" x14ac:dyDescent="0.25">
      <c r="N310" s="129"/>
    </row>
  </sheetData>
  <sheetProtection algorithmName="SHA-512" hashValue="9oTFXGJ+l8wUI7TVvGojpPvVM03dqs/5s+Wj/7jbwpm109OiCNqKiQAzZiZ4/xE0aLmD0SVQVmwjU6QExSZApw==" saltValue="57BFOq6lg8H03ZIeSFe0WQ==" spinCount="100000" sheet="1" formatCells="0" formatColumns="0" formatRows="0" insertColumns="0" insertRows="0" insertHyperlinks="0" deleteColumns="0" deleteRows="0" sort="0" autoFilter="0" pivotTables="0"/>
  <mergeCells count="35">
    <mergeCell ref="Q34:Q35"/>
    <mergeCell ref="B34:E34"/>
    <mergeCell ref="F34:F35"/>
    <mergeCell ref="G34:J34"/>
    <mergeCell ref="K34:K35"/>
    <mergeCell ref="L34:O34"/>
    <mergeCell ref="P34:P35"/>
    <mergeCell ref="Q23:Q24"/>
    <mergeCell ref="A23:A24"/>
    <mergeCell ref="A3:A4"/>
    <mergeCell ref="B3:E3"/>
    <mergeCell ref="F3:F4"/>
    <mergeCell ref="G3:J3"/>
    <mergeCell ref="K3:K4"/>
    <mergeCell ref="L3:O3"/>
    <mergeCell ref="P3:P4"/>
    <mergeCell ref="Q3:Q4"/>
    <mergeCell ref="B23:E23"/>
    <mergeCell ref="F23:F24"/>
    <mergeCell ref="G23:J23"/>
    <mergeCell ref="K23:K24"/>
    <mergeCell ref="L23:O23"/>
    <mergeCell ref="P23:P24"/>
    <mergeCell ref="A116:A117"/>
    <mergeCell ref="B116:M116"/>
    <mergeCell ref="A34:A35"/>
    <mergeCell ref="N51:N52"/>
    <mergeCell ref="B80:E80"/>
    <mergeCell ref="F80:I80"/>
    <mergeCell ref="J80:M80"/>
    <mergeCell ref="A80:A81"/>
    <mergeCell ref="J51:M51"/>
    <mergeCell ref="F51:I51"/>
    <mergeCell ref="A51:A52"/>
    <mergeCell ref="B51:E51"/>
  </mergeCells>
  <phoneticPr fontId="7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S52"/>
  <sheetViews>
    <sheetView zoomScale="83" zoomScaleNormal="83" workbookViewId="0">
      <selection activeCell="D4" sqref="D4:E4"/>
    </sheetView>
  </sheetViews>
  <sheetFormatPr defaultRowHeight="15.75" x14ac:dyDescent="0.25"/>
  <cols>
    <col min="1" max="1" width="4.7109375" style="3" customWidth="1"/>
    <col min="2" max="2" width="66.7109375" style="2" customWidth="1"/>
    <col min="3" max="3" width="15.42578125" style="2" customWidth="1"/>
    <col min="4" max="4" width="23" style="2" customWidth="1"/>
    <col min="5" max="5" width="5.28515625" style="2" customWidth="1"/>
    <col min="6" max="6" width="20.28515625" style="2" customWidth="1"/>
    <col min="7" max="7" width="5.28515625" style="2" customWidth="1"/>
    <col min="8" max="8" width="59.140625" style="2" customWidth="1"/>
    <col min="9" max="19" width="9.140625" style="2"/>
    <col min="20" max="20" width="9.140625" style="2" customWidth="1"/>
    <col min="21" max="16384" width="9.140625" style="2"/>
  </cols>
  <sheetData>
    <row r="1" spans="1:19" x14ac:dyDescent="0.25">
      <c r="A1" s="252" t="s">
        <v>266</v>
      </c>
      <c r="B1" s="252"/>
      <c r="C1" s="252"/>
      <c r="D1" s="252"/>
      <c r="E1" s="252"/>
      <c r="F1" s="252"/>
      <c r="G1" s="252"/>
      <c r="H1" s="25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N2" s="231"/>
      <c r="O2" s="231"/>
    </row>
    <row r="3" spans="1:19" x14ac:dyDescent="0.25">
      <c r="C3" s="4" t="s">
        <v>217</v>
      </c>
      <c r="D3" s="5">
        <f>'Данные Заявителя'!B4</f>
        <v>0</v>
      </c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x14ac:dyDescent="0.25">
      <c r="B4" s="257" t="s">
        <v>263</v>
      </c>
      <c r="C4" s="257"/>
      <c r="D4" s="265" t="s">
        <v>194</v>
      </c>
      <c r="E4" s="265"/>
      <c r="F4" s="7"/>
      <c r="G4" s="7"/>
      <c r="H4" s="7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x14ac:dyDescent="0.25">
      <c r="A5" s="8"/>
      <c r="B5" s="235"/>
      <c r="C5" s="235"/>
      <c r="D5" s="235"/>
      <c r="E5" s="235"/>
      <c r="F5" s="235"/>
      <c r="G5" s="235"/>
      <c r="H5" s="235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</row>
    <row r="6" spans="1:19" x14ac:dyDescent="0.25">
      <c r="A6" s="9" t="s">
        <v>260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1.5" x14ac:dyDescent="0.25">
      <c r="A7" s="11" t="s">
        <v>258</v>
      </c>
      <c r="B7" s="11" t="s">
        <v>218</v>
      </c>
      <c r="C7" s="11" t="s">
        <v>219</v>
      </c>
      <c r="D7" s="253" t="s">
        <v>220</v>
      </c>
      <c r="E7" s="237"/>
      <c r="F7" s="253" t="s">
        <v>221</v>
      </c>
      <c r="G7" s="237"/>
      <c r="H7" s="11" t="s">
        <v>222</v>
      </c>
      <c r="J7" s="12"/>
      <c r="K7" s="13"/>
      <c r="L7" s="12"/>
      <c r="M7" s="12"/>
      <c r="N7" s="12"/>
      <c r="P7" s="14"/>
      <c r="Q7" s="14"/>
      <c r="R7" s="14"/>
      <c r="S7" s="14"/>
    </row>
    <row r="8" spans="1:19" x14ac:dyDescent="0.25">
      <c r="A8" s="11">
        <v>1</v>
      </c>
      <c r="B8" s="15" t="s">
        <v>223</v>
      </c>
      <c r="C8" s="11" t="s">
        <v>264</v>
      </c>
      <c r="D8" s="260">
        <f>IF(D4='Итоговые расчеты модели'!B117,'Итоговые расчеты модели'!B128,IF(D4='Итоговые расчеты модели'!C117,'Итоговые расчеты модели'!C128,IF($D$4='Итоговые расчеты модели'!D117,'Итоговые расчеты модели'!D128,IF($D$4='Итоговые расчеты модели'!E117,'Итоговые расчеты модели'!E128,IF($D$4='Итоговые расчеты модели'!F117,'Итоговые расчеты модели'!F128,IF($D$4='Итоговые расчеты модели'!G117,'Итоговые расчеты модели'!G128,IF($D$4='Итоговые расчеты модели'!H117,'Итоговые расчеты модели'!H128,IF($D$4='Итоговые расчеты модели'!I117,'Итоговые расчеты модели'!I128,IF($D$4='Итоговые расчеты модели'!J117,'Итоговые расчеты модели'!J128,IF($D$4='Итоговые расчеты модели'!K117,'Итоговые расчеты модели'!K128,IF($D$4='Итоговые расчеты модели'!L117,'Итоговые расчеты модели'!L128,'Итоговые расчеты модели'!M128)))))))))))</f>
        <v>7</v>
      </c>
      <c r="E8" s="261"/>
      <c r="F8" s="233"/>
      <c r="G8" s="234"/>
      <c r="H8" s="16"/>
      <c r="I8" s="14"/>
      <c r="J8" s="14"/>
      <c r="K8" s="12"/>
      <c r="L8" s="12"/>
      <c r="M8" s="12"/>
      <c r="N8" s="12"/>
      <c r="O8" s="12" t="s">
        <v>245</v>
      </c>
      <c r="P8" s="12"/>
      <c r="Q8" s="12"/>
      <c r="R8" s="12"/>
      <c r="S8" s="12"/>
    </row>
    <row r="9" spans="1:19" x14ac:dyDescent="0.25">
      <c r="A9" s="11">
        <v>2</v>
      </c>
      <c r="B9" s="15" t="s">
        <v>224</v>
      </c>
      <c r="C9" s="11" t="s">
        <v>248</v>
      </c>
      <c r="D9" s="258">
        <f>IF(D4='Итоговые расчеты модели'!B117,'Итоговые расчеты модели'!B118,IF(D4='Итоговые расчеты модели'!C117,'Итоговые расчеты модели'!C118,IF($D$4='Итоговые расчеты модели'!D117,'Итоговые расчеты модели'!D118,IF($D$4='Итоговые расчеты модели'!E117,'Итоговые расчеты модели'!E118,IF($D$4='Итоговые расчеты модели'!F117,'Итоговые расчеты модели'!F118,IF($D$4='Итоговые расчеты модели'!G117,'Итоговые расчеты модели'!G118,IF($D$4='Итоговые расчеты модели'!H117,'Итоговые расчеты модели'!H118,IF($D$4='Итоговые расчеты модели'!I117,'Итоговые расчеты модели'!I118,IF($D$4='Итоговые расчеты модели'!J117,'Итоговые расчеты модели'!J118,IF($D$4='Итоговые расчеты модели'!K117,'Итоговые расчеты модели'!K118,IF($D$4='Итоговые расчеты модели'!L117,'Итоговые расчеты модели'!L118,'Итоговые расчеты модели'!M118)))))))))))</f>
        <v>2679.7860000000001</v>
      </c>
      <c r="E9" s="259"/>
      <c r="F9" s="233"/>
      <c r="G9" s="234"/>
      <c r="H9" s="16"/>
      <c r="I9" s="14"/>
      <c r="J9" s="14"/>
      <c r="K9" s="12"/>
      <c r="L9" s="12"/>
      <c r="M9" s="12"/>
      <c r="N9" s="12"/>
      <c r="O9" s="12"/>
      <c r="P9" s="12"/>
      <c r="Q9" s="12"/>
      <c r="R9" s="12"/>
      <c r="S9" s="12"/>
    </row>
    <row r="10" spans="1:19" x14ac:dyDescent="0.25">
      <c r="A10" s="11">
        <v>3</v>
      </c>
      <c r="B10" s="15" t="s">
        <v>225</v>
      </c>
      <c r="C10" s="11" t="s">
        <v>248</v>
      </c>
      <c r="D10" s="255">
        <f>IF(D4='Итоговые расчеты модели'!B117,'Итоговые расчеты модели'!B119,IF(D4='Итоговые расчеты модели'!C117,'Итоговые расчеты модели'!C119,IF($D$4='Итоговые расчеты модели'!D117,'Итоговые расчеты модели'!D119,IF($D$4='Итоговые расчеты модели'!E117,'Итоговые расчеты модели'!E119,IF($D$4='Итоговые расчеты модели'!F117,'Итоговые расчеты модели'!F119,IF($D$4='Итоговые расчеты модели'!G117,'Итоговые расчеты модели'!G119,IF($D$4='Итоговые расчеты модели'!H117,'Итоговые расчеты модели'!H119,IF($D$4='Итоговые расчеты модели'!I117,'Итоговые расчеты модели'!I119,IF($D$4='Итоговые расчеты модели'!J117,'Итоговые расчеты модели'!J119,IF($D$4='Итоговые расчеты модели'!K117,'Итоговые расчеты модели'!K119,IF($D$4='Итоговые расчеты модели'!L117,'Итоговые расчеты модели'!L119,'Итоговые расчеты модели'!M119)))))))))))</f>
        <v>1157.8813607999996</v>
      </c>
      <c r="E10" s="256"/>
      <c r="F10" s="263"/>
      <c r="G10" s="264"/>
      <c r="H10" s="17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x14ac:dyDescent="0.25">
      <c r="A11" s="242">
        <v>4</v>
      </c>
      <c r="B11" s="262" t="s">
        <v>226</v>
      </c>
      <c r="C11" s="242" t="s">
        <v>227</v>
      </c>
      <c r="D11" s="18" t="s">
        <v>228</v>
      </c>
      <c r="E11" s="16"/>
      <c r="F11" s="18" t="s">
        <v>228</v>
      </c>
      <c r="G11" s="19"/>
      <c r="H11" s="19"/>
      <c r="I11" s="14"/>
      <c r="J11" s="13"/>
      <c r="K11" s="14"/>
      <c r="L11" s="14"/>
      <c r="M11" s="14"/>
      <c r="N11" s="14"/>
      <c r="O11" s="232"/>
      <c r="P11" s="232"/>
      <c r="Q11" s="232"/>
      <c r="R11" s="232"/>
      <c r="S11" s="232"/>
    </row>
    <row r="12" spans="1:19" x14ac:dyDescent="0.25">
      <c r="A12" s="254"/>
      <c r="B12" s="262"/>
      <c r="C12" s="254"/>
      <c r="D12" s="18" t="s">
        <v>229</v>
      </c>
      <c r="E12" s="16"/>
      <c r="F12" s="18" t="s">
        <v>229</v>
      </c>
      <c r="G12" s="19"/>
      <c r="H12" s="16"/>
      <c r="I12" s="14"/>
      <c r="J12" s="14"/>
      <c r="K12" s="14"/>
      <c r="L12" s="14"/>
      <c r="M12" s="14"/>
      <c r="N12" s="14"/>
      <c r="O12" s="12"/>
      <c r="P12" s="12"/>
      <c r="Q12" s="12"/>
      <c r="R12" s="12"/>
      <c r="S12" s="12"/>
    </row>
    <row r="13" spans="1:19" x14ac:dyDescent="0.25">
      <c r="A13" s="254"/>
      <c r="B13" s="262"/>
      <c r="C13" s="254"/>
      <c r="D13" s="18" t="s">
        <v>231</v>
      </c>
      <c r="E13" s="16"/>
      <c r="F13" s="18" t="s">
        <v>231</v>
      </c>
      <c r="G13" s="19"/>
      <c r="H13" s="16"/>
      <c r="I13" s="14"/>
      <c r="J13" s="14"/>
      <c r="K13" s="14"/>
      <c r="L13" s="14"/>
      <c r="M13" s="14"/>
      <c r="N13" s="14"/>
      <c r="O13" s="12"/>
      <c r="P13" s="12"/>
      <c r="Q13" s="12"/>
      <c r="R13" s="12"/>
      <c r="S13" s="12"/>
    </row>
    <row r="14" spans="1:19" x14ac:dyDescent="0.25">
      <c r="A14" s="254"/>
      <c r="B14" s="262"/>
      <c r="C14" s="254"/>
      <c r="D14" s="18" t="s">
        <v>230</v>
      </c>
      <c r="E14" s="16"/>
      <c r="F14" s="18" t="s">
        <v>230</v>
      </c>
      <c r="G14" s="19"/>
      <c r="H14" s="16"/>
      <c r="I14" s="14"/>
      <c r="J14" s="14"/>
      <c r="K14" s="14"/>
      <c r="L14" s="14"/>
      <c r="M14" s="14"/>
      <c r="N14" s="14"/>
      <c r="O14" s="12"/>
      <c r="P14" s="12"/>
      <c r="Q14" s="12"/>
      <c r="R14" s="12"/>
      <c r="S14" s="12"/>
    </row>
    <row r="15" spans="1:19" x14ac:dyDescent="0.25">
      <c r="A15" s="254"/>
      <c r="B15" s="262"/>
      <c r="C15" s="243"/>
      <c r="D15" s="18" t="s">
        <v>247</v>
      </c>
      <c r="E15" s="16"/>
      <c r="F15" s="18" t="s">
        <v>247</v>
      </c>
      <c r="G15" s="19"/>
      <c r="H15" s="19"/>
      <c r="I15" s="14"/>
      <c r="J15" s="14"/>
      <c r="K15" s="14"/>
      <c r="L15" s="14"/>
      <c r="M15" s="14"/>
      <c r="N15" s="14"/>
      <c r="O15" s="12"/>
      <c r="P15" s="12"/>
      <c r="Q15" s="12"/>
      <c r="R15" s="12"/>
      <c r="S15" s="12"/>
    </row>
    <row r="16" spans="1:19" x14ac:dyDescent="0.25">
      <c r="A16" s="243"/>
      <c r="B16" s="262"/>
      <c r="C16" s="11" t="s">
        <v>248</v>
      </c>
      <c r="D16" s="258">
        <f>IF(D4='Итоговые расчеты модели'!B117,'Итоговые расчеты модели'!B130,IF(D4='Итоговые расчеты модели'!C117,'Итоговые расчеты модели'!C130,IF($D$4='Итоговые расчеты модели'!D117,'Итоговые расчеты модели'!D130,IF($D$4='Итоговые расчеты модели'!E117,'Итоговые расчеты модели'!E130,IF($D$4='Итоговые расчеты модели'!F117,'Итоговые расчеты модели'!F130,IF($D$4='Итоговые расчеты модели'!G117,'Итоговые расчеты модели'!G130,IF($D$4='Итоговые расчеты модели'!H117,'Итоговые расчеты модели'!H130,IF($D$4='Итоговые расчеты модели'!I117,'Итоговые расчеты модели'!I130,IF($D$4='Итоговые расчеты модели'!J117,'Итоговые расчеты модели'!J130,IF($D$4='Итоговые расчеты модели'!K117,'Итоговые расчеты модели'!K130,IF($D$4='Итоговые расчеты модели'!L117,'Итоговые расчеты модели'!L130,'Итоговые расчеты модели'!M130)))))))))))</f>
        <v>350</v>
      </c>
      <c r="E16" s="259"/>
      <c r="F16" s="233"/>
      <c r="G16" s="234"/>
      <c r="H16" s="19"/>
      <c r="I16" s="14"/>
      <c r="J16" s="14"/>
      <c r="K16" s="14"/>
      <c r="L16" s="14"/>
      <c r="M16" s="14"/>
      <c r="N16" s="14"/>
      <c r="O16" s="12"/>
      <c r="P16" s="12"/>
      <c r="Q16" s="12"/>
      <c r="R16" s="12"/>
      <c r="S16" s="12"/>
    </row>
    <row r="17" spans="1:19" x14ac:dyDescent="0.25">
      <c r="A17" s="11">
        <v>5</v>
      </c>
      <c r="B17" s="262" t="s">
        <v>246</v>
      </c>
      <c r="C17" s="262"/>
      <c r="D17" s="236" t="str">
        <f>'Данные Заявителя'!B8</f>
        <v>Патент</v>
      </c>
      <c r="E17" s="237"/>
      <c r="F17" s="233"/>
      <c r="G17" s="234"/>
      <c r="H17" s="16"/>
      <c r="I17" s="14"/>
      <c r="J17" s="14"/>
      <c r="K17" s="14"/>
      <c r="L17" s="14"/>
      <c r="M17" s="14"/>
      <c r="N17" s="14"/>
      <c r="O17" s="232"/>
      <c r="P17" s="232"/>
      <c r="Q17" s="232"/>
      <c r="R17" s="232"/>
      <c r="S17" s="232"/>
    </row>
    <row r="18" spans="1:19" s="13" customFormat="1" x14ac:dyDescent="0.25">
      <c r="A18" s="11">
        <v>6</v>
      </c>
      <c r="B18" s="253" t="s">
        <v>249</v>
      </c>
      <c r="C18" s="267"/>
      <c r="D18" s="20"/>
      <c r="E18" s="20"/>
      <c r="F18" s="20"/>
      <c r="G18" s="20"/>
      <c r="H18" s="21"/>
      <c r="I18" s="14"/>
      <c r="J18" s="14"/>
      <c r="K18" s="14"/>
      <c r="L18" s="14"/>
      <c r="M18" s="14"/>
      <c r="N18" s="14"/>
      <c r="O18" s="12"/>
      <c r="P18" s="12"/>
      <c r="Q18" s="12"/>
      <c r="R18" s="12"/>
      <c r="S18" s="12"/>
    </row>
    <row r="19" spans="1:19" s="13" customFormat="1" x14ac:dyDescent="0.25">
      <c r="A19" s="11"/>
      <c r="B19" s="15" t="s">
        <v>253</v>
      </c>
      <c r="C19" s="11" t="str">
        <f>C9</f>
        <v>тыс. руб.</v>
      </c>
      <c r="D19" s="270">
        <f>IF(D17='Данные Заявителя'!A93,IF(D4='Итоговые расчеты модели'!B117,'Итоговые расчеты модели'!B121/20*3,IF(D4='Итоговые расчеты модели'!C117,'Итоговые расчеты модели'!C121/20*3,IF($D$4='Итоговые расчеты модели'!D117,'Итоговые расчеты модели'!D121/20*3,IF($D$4='Итоговые расчеты модели'!E117,'Итоговые расчеты модели'!E121/20*3,IF($D$4='Итоговые расчеты модели'!F117,'Итоговые расчеты модели'!F121/20*3,IF($D$4='Итоговые расчеты модели'!G117,'Итоговые расчеты модели'!G121/20*3,IF($D$4='Итоговые расчеты модели'!H117,'Итоговые расчеты модели'!H121/20*3,IF($D$4='Итоговые расчеты модели'!I117,'Итоговые расчеты модели'!I121/20*3,IF($D$4='Итоговые расчеты модели'!J117,'Итоговые расчеты модели'!J121/20*3,IF($D$4='Итоговые расчеты модели'!K117,'Итоговые расчеты модели'!K121/20*3,IF($D$4='Итоговые расчеты модели'!L117,'Итоговые расчеты модели'!L121/20*3,'Итоговые расчеты модели'!M121/20*3))))))))))),0)</f>
        <v>0</v>
      </c>
      <c r="E19" s="271"/>
      <c r="F19" s="266"/>
      <c r="G19" s="234"/>
      <c r="H19" s="16"/>
      <c r="I19" s="14"/>
      <c r="J19" s="14"/>
      <c r="K19" s="14"/>
      <c r="L19" s="14"/>
      <c r="M19" s="14"/>
      <c r="N19" s="14"/>
      <c r="O19" s="12"/>
      <c r="P19" s="12"/>
      <c r="Q19" s="12"/>
      <c r="R19" s="12"/>
      <c r="S19" s="12"/>
    </row>
    <row r="20" spans="1:19" s="13" customFormat="1" x14ac:dyDescent="0.25">
      <c r="A20" s="11"/>
      <c r="B20" s="15" t="s">
        <v>199</v>
      </c>
      <c r="C20" s="11" t="str">
        <f>C10</f>
        <v>тыс. руб.</v>
      </c>
      <c r="D20" s="270">
        <f>IF(D4='Итоговые расчеты модели'!B117,'Итоговые расчеты модели'!B123,IF(D4='Итоговые расчеты модели'!C117,'Итоговые расчеты модели'!C123,IF($D$4='Итоговые расчеты модели'!D117,'Итоговые расчеты модели'!D123,IF($D$4='Итоговые расчеты модели'!E117,'Итоговые расчеты модели'!E123,IF($D$4='Итоговые расчеты модели'!F117,'Итоговые расчеты модели'!F123,IF($D$4='Итоговые расчеты модели'!G117,'Итоговые расчеты модели'!G123,IF($D$4='Итоговые расчеты модели'!H117,'Итоговые расчеты модели'!H123,IF($D$4='Итоговые расчеты модели'!I117,'Итоговые расчеты модели'!I123,IF($D$4='Итоговые расчеты модели'!J117,'Итоговые расчеты модели'!J123,IF($D$4='Итоговые расчеты модели'!K117,'Итоговые расчеты модели'!K123,IF($D$4='Итоговые расчеты модели'!L117,'Итоговые расчеты модели'!L123,'Итоговые расчеты модели'!M123)))))))))))</f>
        <v>0</v>
      </c>
      <c r="E20" s="271"/>
      <c r="F20" s="266"/>
      <c r="G20" s="234"/>
      <c r="H20" s="16"/>
      <c r="I20" s="14"/>
      <c r="J20" s="14"/>
      <c r="K20" s="14"/>
      <c r="L20" s="14"/>
      <c r="M20" s="14"/>
      <c r="N20" s="14"/>
      <c r="O20" s="12"/>
      <c r="P20" s="12"/>
      <c r="Q20" s="12"/>
      <c r="R20" s="12"/>
      <c r="S20" s="12"/>
    </row>
    <row r="21" spans="1:19" s="13" customFormat="1" x14ac:dyDescent="0.25">
      <c r="A21" s="11">
        <v>7</v>
      </c>
      <c r="B21" s="253" t="s">
        <v>250</v>
      </c>
      <c r="C21" s="267"/>
      <c r="D21" s="20"/>
      <c r="E21" s="20"/>
      <c r="F21" s="20"/>
      <c r="G21" s="20"/>
      <c r="H21" s="21"/>
      <c r="I21" s="14"/>
      <c r="J21" s="14"/>
      <c r="K21" s="14"/>
      <c r="L21" s="14"/>
      <c r="M21" s="14"/>
      <c r="N21" s="14"/>
      <c r="O21" s="12"/>
      <c r="P21" s="12"/>
      <c r="Q21" s="12"/>
      <c r="R21" s="12"/>
      <c r="S21" s="12"/>
    </row>
    <row r="22" spans="1:19" s="13" customFormat="1" x14ac:dyDescent="0.25">
      <c r="A22" s="11"/>
      <c r="B22" s="15" t="s">
        <v>252</v>
      </c>
      <c r="C22" s="11" t="str">
        <f>C20</f>
        <v>тыс. руб.</v>
      </c>
      <c r="D22" s="270">
        <f>IF(D17='Данные Заявителя'!A93,IF(D4='Итоговые расчеты модели'!B117,'Итоговые расчеты модели'!B121/20*17,IF(D4='Итоговые расчеты модели'!C117,'Итоговые расчеты модели'!C121/20*17,IF($D$4='Итоговые расчеты модели'!D117,'Итоговые расчеты модели'!D121/20*17,IF($D$4='Итоговые расчеты модели'!E117,'Итоговые расчеты модели'!E121/20*17,IF($D$4='Итоговые расчеты модели'!F117,'Итоговые расчеты модели'!F121/20*17,IF($D$4='Итоговые расчеты модели'!G117,'Итоговые расчеты модели'!G121/20*17,IF($D$4='Итоговые расчеты модели'!H117,'Итоговые расчеты модели'!H121/20*17,IF($D$4='Итоговые расчеты модели'!I117,'Итоговые расчеты модели'!I121/20*17,IF($D$4='Итоговые расчеты модели'!J117,'Итоговые расчеты модели'!J121/20*17,IF($D$4='Итоговые расчеты модели'!K117,'Итоговые расчеты модели'!K121/20*17,IF($D$4='Итоговые расчеты модели'!L117,'Итоговые расчеты модели'!L121/20*17,'Итоговые расчеты модели'!M121/20*17))))))))))),0)</f>
        <v>0</v>
      </c>
      <c r="E22" s="271"/>
      <c r="F22" s="233"/>
      <c r="G22" s="234"/>
      <c r="H22" s="16"/>
      <c r="I22" s="14"/>
      <c r="J22" s="14"/>
      <c r="K22" s="14"/>
      <c r="L22" s="14"/>
      <c r="M22" s="14"/>
      <c r="N22" s="14"/>
      <c r="O22" s="12"/>
      <c r="P22" s="12"/>
      <c r="Q22" s="12"/>
      <c r="R22" s="12"/>
      <c r="S22" s="12"/>
    </row>
    <row r="23" spans="1:19" s="13" customFormat="1" x14ac:dyDescent="0.25">
      <c r="A23" s="11"/>
      <c r="B23" s="15" t="s">
        <v>254</v>
      </c>
      <c r="C23" s="11" t="str">
        <f>C22</f>
        <v>тыс. руб.</v>
      </c>
      <c r="D23" s="270">
        <f>IF(D17='Данные Заявителя'!$A$96,0,IF(D17='Данные Заявителя'!A93,0,IF(D4='Итоговые расчеты модели'!B117,'Итоговые расчеты модели'!B121,IF(D4='Итоговые расчеты модели'!C117,'Итоговые расчеты модели'!C121,IF($D$4='Итоговые расчеты модели'!D117,'Итоговые расчеты модели'!D121,IF($D$4='Итоговые расчеты модели'!E117,'Итоговые расчеты модели'!E121,IF($D$4='Итоговые расчеты модели'!F117,'Итоговые расчеты модели'!F121,IF($D$4='Итоговые расчеты модели'!G117,'Итоговые расчеты модели'!G121,IF($D$4='Итоговые расчеты модели'!H117,'Итоговые расчеты модели'!H121,IF($D$4='Итоговые расчеты модели'!I117,'Итоговые расчеты модели'!I121,IF($D$4='Итоговые расчеты модели'!J117,'Итоговые расчеты модели'!J121,IF($D$4='Итоговые расчеты модели'!K117,'Итоговые расчеты модели'!K121,IF($D$4='Итоговые расчеты модели'!L117,'Итоговые расчеты модели'!L121,'Итоговые расчеты модели'!M121)))))))))))))</f>
        <v>0</v>
      </c>
      <c r="E23" s="271"/>
      <c r="F23" s="233"/>
      <c r="G23" s="234"/>
      <c r="H23" s="16"/>
      <c r="I23" s="14"/>
      <c r="J23" s="14"/>
      <c r="K23" s="14"/>
      <c r="L23" s="14"/>
      <c r="M23" s="14"/>
      <c r="N23" s="14"/>
      <c r="O23" s="12"/>
      <c r="P23" s="12"/>
      <c r="Q23" s="12"/>
      <c r="R23" s="12"/>
      <c r="S23" s="12"/>
    </row>
    <row r="24" spans="1:19" s="13" customFormat="1" x14ac:dyDescent="0.25">
      <c r="A24" s="11"/>
      <c r="B24" s="15" t="s">
        <v>255</v>
      </c>
      <c r="C24" s="11" t="str">
        <f>C23</f>
        <v>тыс. руб.</v>
      </c>
      <c r="D24" s="268">
        <f>IF(D4='Итоговые расчеты модели'!B117,'Итоговые расчеты модели'!B122*85%,IF(D4='Итоговые расчеты модели'!C117,'Итоговые расчеты модели'!C122*85%,IF($D$4='Итоговые расчеты модели'!D117,'Итоговые расчеты модели'!D122*85%,IF($D$4='Итоговые расчеты модели'!E117,'Итоговые расчеты модели'!E122*85%,IF($D$4='Итоговые расчеты модели'!F117,'Итоговые расчеты модели'!F122*85%,IF($D$4='Итоговые расчеты модели'!G117,'Итоговые расчеты модели'!G122*85%,IF($D$4='Итоговые расчеты модели'!H117,'Итоговые расчеты модели'!H122*85%,IF($D$4='Итоговые расчеты модели'!I117,'Итоговые расчеты модели'!I122*85%,IF($D$4='Итоговые расчеты модели'!J117,'Итоговые расчеты модели'!J122*85%,IF($D$4='Итоговые расчеты модели'!K117,'Итоговые расчеты модели'!K122*85%,IF($D$4='Итоговые расчеты модели'!L117,'Итоговые расчеты модели'!L122*85%,'Итоговые расчеты модели'!M122*85%)))))))))))</f>
        <v>63.463420800000023</v>
      </c>
      <c r="E24" s="269"/>
      <c r="F24" s="233"/>
      <c r="G24" s="234"/>
      <c r="H24" s="16"/>
      <c r="I24" s="14"/>
      <c r="J24" s="14"/>
      <c r="K24" s="14"/>
      <c r="L24" s="14"/>
      <c r="M24" s="14"/>
      <c r="N24" s="14"/>
      <c r="O24" s="12"/>
      <c r="P24" s="12"/>
      <c r="Q24" s="12"/>
      <c r="R24" s="12"/>
      <c r="S24" s="12"/>
    </row>
    <row r="25" spans="1:19" s="13" customFormat="1" x14ac:dyDescent="0.25">
      <c r="A25" s="11">
        <v>8</v>
      </c>
      <c r="B25" s="253" t="s">
        <v>251</v>
      </c>
      <c r="C25" s="267"/>
      <c r="D25" s="20"/>
      <c r="E25" s="20"/>
      <c r="F25" s="20"/>
      <c r="G25" s="20"/>
      <c r="H25" s="21"/>
      <c r="I25" s="14"/>
      <c r="J25" s="14"/>
      <c r="K25" s="14"/>
      <c r="L25" s="14"/>
      <c r="M25" s="14"/>
      <c r="N25" s="14"/>
      <c r="O25" s="12"/>
      <c r="P25" s="12"/>
      <c r="Q25" s="12"/>
      <c r="R25" s="12"/>
      <c r="S25" s="12"/>
    </row>
    <row r="26" spans="1:19" s="13" customFormat="1" x14ac:dyDescent="0.25">
      <c r="A26" s="11"/>
      <c r="B26" s="15" t="s">
        <v>256</v>
      </c>
      <c r="C26" s="11" t="str">
        <f>C24</f>
        <v>тыс. руб.</v>
      </c>
      <c r="D26" s="268">
        <f>IF(D4='Итоговые расчеты модели'!B117,'Итоговые расчеты модели'!B122*15%,IF(D4='Итоговые расчеты модели'!C117,'Итоговые расчеты модели'!C122*15%,IF($D$4='Итоговые расчеты модели'!D117,'Итоговые расчеты модели'!D122*15%,IF($D$4='Итоговые расчеты модели'!E117,'Итоговые расчеты модели'!E122*15%,IF($D$4='Итоговые расчеты модели'!F117,'Итоговые расчеты модели'!F122*15%,IF($D$4='Итоговые расчеты модели'!G117,'Итоговые расчеты модели'!G122*15%,IF($D$4='Итоговые расчеты модели'!H117,'Итоговые расчеты модели'!H122*15%,IF($D$4='Итоговые расчеты модели'!I117,'Итоговые расчеты модели'!I122*15%,IF($D$4='Итоговые расчеты модели'!J117,'Итоговые расчеты модели'!J122*15%,IF($D$4='Итоговые расчеты модели'!K117,'Итоговые расчеты модели'!K122*15%,IF($D$4='Итоговые расчеты модели'!L117,'Итоговые расчеты модели'!L122*15%,'Итоговые расчеты модели'!M122*15%)))))))))))</f>
        <v>11.199427200000004</v>
      </c>
      <c r="E26" s="269"/>
      <c r="F26" s="233"/>
      <c r="G26" s="234"/>
      <c r="H26" s="16"/>
      <c r="I26" s="14"/>
      <c r="J26" s="14"/>
      <c r="K26" s="14"/>
      <c r="L26" s="14"/>
      <c r="M26" s="14"/>
      <c r="N26" s="14"/>
      <c r="O26" s="12"/>
      <c r="P26" s="12"/>
      <c r="Q26" s="12"/>
      <c r="R26" s="12"/>
      <c r="S26" s="12"/>
    </row>
    <row r="27" spans="1:19" s="196" customFormat="1" x14ac:dyDescent="0.25">
      <c r="A27" s="198"/>
      <c r="B27" s="197" t="s">
        <v>313</v>
      </c>
      <c r="C27" s="198" t="str">
        <f>C24</f>
        <v>тыс. руб.</v>
      </c>
      <c r="D27" s="270">
        <f>IF(D17='Данные Заявителя'!$A$96,'Данные Заявителя'!$F$8/4000,0)</f>
        <v>4.5</v>
      </c>
      <c r="E27" s="271"/>
      <c r="F27" s="233"/>
      <c r="G27" s="234"/>
      <c r="H27" s="195"/>
      <c r="I27" s="200"/>
      <c r="J27" s="14"/>
      <c r="K27" s="14"/>
      <c r="L27" s="14"/>
      <c r="M27" s="14"/>
      <c r="N27" s="14"/>
      <c r="O27" s="194"/>
      <c r="P27" s="194"/>
      <c r="Q27" s="194"/>
      <c r="R27" s="194"/>
      <c r="S27" s="194"/>
    </row>
    <row r="28" spans="1:19" s="13" customFormat="1" x14ac:dyDescent="0.25">
      <c r="A28" s="11">
        <v>9</v>
      </c>
      <c r="B28" s="253" t="s">
        <v>257</v>
      </c>
      <c r="C28" s="267"/>
      <c r="D28" s="20"/>
      <c r="E28" s="20"/>
      <c r="F28" s="20"/>
      <c r="G28" s="20"/>
      <c r="H28" s="21"/>
      <c r="I28" s="14"/>
      <c r="J28" s="14"/>
      <c r="K28" s="14"/>
      <c r="L28" s="14"/>
      <c r="M28" s="14"/>
      <c r="N28" s="14"/>
      <c r="O28" s="12"/>
      <c r="P28" s="12"/>
      <c r="Q28" s="12"/>
      <c r="R28" s="12"/>
      <c r="S28" s="12"/>
    </row>
    <row r="29" spans="1:19" s="13" customFormat="1" x14ac:dyDescent="0.25">
      <c r="A29" s="11"/>
      <c r="B29" s="22" t="s">
        <v>268</v>
      </c>
      <c r="C29" s="11" t="str">
        <f>C26</f>
        <v>тыс. руб.</v>
      </c>
      <c r="D29" s="268">
        <f>IF(D4='Итоговые расчеты модели'!B117,'Итоговые расчеты модели'!B124,IF(D4='Итоговые расчеты модели'!C117,'Итоговые расчеты модели'!C124,IF($D$4='Итоговые расчеты модели'!D117,'Итоговые расчеты модели'!D124,IF($D$4='Итоговые расчеты модели'!E117,'Итоговые расчеты модели'!E124,IF($D$4='Итоговые расчеты модели'!F117,'Итоговые расчеты модели'!F124,IF($D$4='Итоговые расчеты модели'!G117,'Итоговые расчеты модели'!G124,IF($D$4='Итоговые расчеты модели'!H117,'Итоговые расчеты модели'!H124,IF($D$4='Итоговые расчеты модели'!I117,'Итоговые расчеты модели'!I124,IF($D$4='Итоговые расчеты модели'!J117,'Итоговые расчеты модели'!J124,IF($D$4='Итоговые расчеты модели'!K117,'Итоговые расчеты модели'!K124,IF($D$4='Итоговые расчеты модели'!L117,'Итоговые расчеты модели'!L124,'Итоговые расчеты модели'!M124)))))))))))</f>
        <v>126.35251200000003</v>
      </c>
      <c r="E29" s="269"/>
      <c r="F29" s="233"/>
      <c r="G29" s="234"/>
      <c r="H29" s="16"/>
      <c r="I29" s="14"/>
      <c r="J29" s="14"/>
      <c r="K29" s="14"/>
      <c r="L29" s="14"/>
      <c r="M29" s="14"/>
      <c r="N29" s="14"/>
      <c r="O29" s="12"/>
      <c r="P29" s="12"/>
      <c r="Q29" s="12"/>
      <c r="R29" s="12"/>
      <c r="S29" s="12"/>
    </row>
    <row r="30" spans="1:19" s="13" customFormat="1" x14ac:dyDescent="0.25">
      <c r="A30" s="11"/>
      <c r="B30" s="22" t="s">
        <v>200</v>
      </c>
      <c r="C30" s="11" t="str">
        <f>C29</f>
        <v>тыс. руб.</v>
      </c>
      <c r="D30" s="268">
        <f>IF(D4='Итоговые расчеты модели'!B117,'Итоговые расчеты модели'!B125,IF(D4='Итоговые расчеты модели'!C117,'Итоговые расчеты модели'!C125,IF($D$4='Итоговые расчеты модели'!D117,'Итоговые расчеты модели'!D125,IF($D$4='Итоговые расчеты модели'!E117,'Итоговые расчеты модели'!E125,IF($D$4='Итоговые расчеты модели'!F117,'Итоговые расчеты модели'!F125,IF($D$4='Итоговые расчеты модели'!G117,'Итоговые расчеты модели'!G125,IF($D$4='Итоговые расчеты модели'!H117,'Итоговые расчеты модели'!H125,IF($D$4='Итоговые расчеты модели'!I117,'Итоговые расчеты модели'!I125,IF($D$4='Итоговые расчеты модели'!J117,'Итоговые расчеты модели'!J125,IF($D$4='Итоговые расчеты модели'!K117,'Итоговые расчеты модели'!K125,IF($D$4='Итоговые расчеты модели'!L117,'Итоговые расчеты модели'!L125,'Итоговые расчеты модели'!M125)))))))))))</f>
        <v>29.290809600000006</v>
      </c>
      <c r="E30" s="269"/>
      <c r="F30" s="233"/>
      <c r="G30" s="234"/>
      <c r="H30" s="16"/>
      <c r="I30" s="14"/>
      <c r="J30" s="14"/>
      <c r="K30" s="14"/>
      <c r="L30" s="14"/>
      <c r="M30" s="14"/>
      <c r="N30" s="14"/>
      <c r="O30" s="12"/>
      <c r="P30" s="12"/>
      <c r="Q30" s="12"/>
      <c r="R30" s="12"/>
      <c r="S30" s="12"/>
    </row>
    <row r="31" spans="1:19" s="13" customFormat="1" x14ac:dyDescent="0.25">
      <c r="A31" s="11"/>
      <c r="B31" s="22" t="s">
        <v>201</v>
      </c>
      <c r="C31" s="11" t="str">
        <f>C29</f>
        <v>тыс. руб.</v>
      </c>
      <c r="D31" s="268">
        <f>IF(D4='Итоговые расчеты модели'!B117,'Итоговые расчеты модели'!B126,IF(D4='Итоговые расчеты модели'!C117,'Итоговые расчеты модели'!C126,IF($D$4='Итоговые расчеты модели'!D117,'Итоговые расчеты модели'!D126,IF($D$4='Итоговые расчеты модели'!E117,'Итоговые расчеты модели'!E126,IF($D$4='Итоговые расчеты модели'!F117,'Итоговые расчеты модели'!F126,IF($D$4='Итоговые расчеты модели'!G117,'Итоговые расчеты модели'!G126,IF($D$4='Итоговые расчеты модели'!H117,'Итоговые расчеты модели'!H126,IF($D$4='Итоговые расчеты модели'!I117,'Итоговые расчеты модели'!I126,IF($D$4='Итоговые расчеты модели'!J117,'Итоговые расчеты модели'!J126,IF($D$4='Итоговые расчеты модели'!K117,'Итоговые расчеты модели'!K126,IF($D$4='Итоговые расчеты модели'!L117,'Итоговые расчеты модели'!L126,'Итоговые расчеты модели'!M126)))))))))))</f>
        <v>16.655558400000004</v>
      </c>
      <c r="E31" s="269"/>
      <c r="F31" s="233"/>
      <c r="G31" s="234"/>
      <c r="H31" s="16"/>
      <c r="I31" s="14"/>
      <c r="J31" s="14"/>
      <c r="K31" s="14"/>
      <c r="L31" s="14"/>
      <c r="M31" s="14"/>
      <c r="N31" s="14"/>
      <c r="O31" s="12"/>
      <c r="P31" s="12"/>
      <c r="Q31" s="12"/>
      <c r="R31" s="12"/>
      <c r="S31" s="12"/>
    </row>
    <row r="32" spans="1:19" s="13" customFormat="1" x14ac:dyDescent="0.25">
      <c r="A32" s="11"/>
      <c r="B32" s="22" t="s">
        <v>202</v>
      </c>
      <c r="C32" s="11" t="str">
        <f>C31</f>
        <v>тыс. руб.</v>
      </c>
      <c r="D32" s="268">
        <f>IF(D4='Итоговые расчеты модели'!B117,'Итоговые расчеты модели'!B127,IF(D4='Итоговые расчеты модели'!C117,'Итоговые расчеты модели'!C127,IF($D$4='Итоговые расчеты модели'!D117,'Итоговые расчеты модели'!D127,IF($D$4='Итоговые расчеты модели'!E117,'Итоговые расчеты модели'!E127,IF($D$4='Итоговые расчеты модели'!F117,'Итоговые расчеты модели'!F127,IF($D$4='Итоговые расчеты модели'!G117,'Итоговые расчеты модели'!G127,IF($D$4='Итоговые расчеты модели'!H117,'Итоговые расчеты модели'!H127,IF($D$4='Итоговые расчеты модели'!I117,'Итоговые расчеты модели'!I127,IF($D$4='Итоговые расчеты модели'!J117,'Итоговые расчеты модели'!J127,IF($D$4='Итоговые расчеты модели'!K117,'Итоговые расчеты модели'!K127,IF($D$4='Итоговые расчеты модели'!L117,'Итоговые расчеты модели'!L127,'Итоговые расчеты модели'!M127)))))))))))</f>
        <v>1.1486592000000002</v>
      </c>
      <c r="E32" s="269"/>
      <c r="F32" s="233"/>
      <c r="G32" s="234"/>
      <c r="H32" s="16"/>
      <c r="I32" s="14"/>
      <c r="J32" s="14"/>
      <c r="K32" s="14"/>
      <c r="L32" s="14"/>
      <c r="M32" s="14"/>
      <c r="N32" s="14"/>
      <c r="O32" s="12"/>
      <c r="P32" s="12"/>
      <c r="Q32" s="12"/>
      <c r="R32" s="12"/>
      <c r="S32" s="12"/>
    </row>
    <row r="33" spans="1:19" s="13" customFormat="1" x14ac:dyDescent="0.25">
      <c r="A33" s="11">
        <v>10</v>
      </c>
      <c r="B33" s="15" t="s">
        <v>259</v>
      </c>
      <c r="C33" s="11" t="str">
        <f>C32</f>
        <v>тыс. руб.</v>
      </c>
      <c r="D33" s="268">
        <f>IF(D4='Итоговые расчеты модели'!B117,'Итоговые расчеты модели'!B129,IF(D4='Итоговые расчеты модели'!C117,'Итоговые расчеты модели'!C129,IF($D$4='Итоговые расчеты модели'!D117,'Итоговые расчеты модели'!D129,IF($D$4='Итоговые расчеты модели'!E117,'Итоговые расчеты модели'!E129,IF($D$4='Итоговые расчеты модели'!F117,'Итоговые расчеты модели'!F129,IF($D$4='Итоговые расчеты модели'!G117,'Итоговые расчеты модели'!G129,IF($D$4='Итоговые расчеты модели'!H117,'Итоговые расчеты модели'!H129,IF($D$4='Итоговые расчеты модели'!I117,'Итоговые расчеты модели'!I129,IF($D$4='Итоговые расчеты модели'!J117,'Итоговые расчеты модели'!J129,IF($D$4='Итоговые расчеты модели'!K117,'Итоговые расчеты модели'!K129,IF($D$4='Итоговые расчеты модели'!L117,'Итоговые расчеты модели'!L129,'Итоговые расчеты модели'!M129)))))))))))</f>
        <v>27.34902857142858</v>
      </c>
      <c r="E33" s="269"/>
      <c r="F33" s="233"/>
      <c r="G33" s="234"/>
      <c r="H33" s="16"/>
      <c r="I33" s="14"/>
      <c r="J33" s="14"/>
      <c r="K33" s="14"/>
      <c r="L33" s="14"/>
      <c r="M33" s="14"/>
      <c r="N33" s="14"/>
      <c r="O33" s="12"/>
      <c r="P33" s="12"/>
      <c r="Q33" s="12"/>
      <c r="R33" s="12"/>
      <c r="S33" s="12"/>
    </row>
    <row r="34" spans="1:19" s="13" customFormat="1" x14ac:dyDescent="0.25">
      <c r="A34" s="11">
        <v>11</v>
      </c>
      <c r="B34" s="240" t="s">
        <v>232</v>
      </c>
      <c r="C34" s="241"/>
      <c r="D34" s="233"/>
      <c r="E34" s="234"/>
      <c r="F34" s="233"/>
      <c r="G34" s="234"/>
      <c r="H34" s="16"/>
      <c r="I34" s="14"/>
      <c r="J34" s="14"/>
      <c r="K34" s="14"/>
      <c r="L34" s="14"/>
      <c r="M34" s="14"/>
      <c r="N34" s="14"/>
      <c r="O34" s="12"/>
      <c r="P34" s="12"/>
      <c r="Q34" s="12"/>
      <c r="R34" s="12"/>
      <c r="S34" s="12"/>
    </row>
    <row r="35" spans="1:19" x14ac:dyDescent="0.25">
      <c r="A35" s="11">
        <v>12</v>
      </c>
      <c r="B35" s="253" t="s">
        <v>265</v>
      </c>
      <c r="C35" s="237"/>
      <c r="D35" s="272">
        <f>F16/D16</f>
        <v>0</v>
      </c>
      <c r="E35" s="273"/>
      <c r="F35" s="273"/>
      <c r="G35" s="274"/>
      <c r="H35" s="16"/>
      <c r="I35" s="14"/>
      <c r="J35" s="14"/>
      <c r="K35" s="14"/>
      <c r="L35" s="14"/>
      <c r="M35" s="14"/>
      <c r="N35" s="14"/>
      <c r="O35" s="12"/>
      <c r="P35" s="12"/>
      <c r="Q35" s="12"/>
      <c r="R35" s="12"/>
      <c r="S35" s="12"/>
    </row>
    <row r="36" spans="1:19" x14ac:dyDescent="0.25">
      <c r="A36" s="267" t="s">
        <v>233</v>
      </c>
      <c r="B36" s="267"/>
      <c r="C36" s="267"/>
      <c r="D36" s="267"/>
      <c r="E36" s="267"/>
      <c r="F36" s="267"/>
      <c r="G36" s="267"/>
      <c r="H36" s="237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x14ac:dyDescent="0.25">
      <c r="A37" s="242">
        <v>9</v>
      </c>
      <c r="B37" s="242" t="s">
        <v>234</v>
      </c>
      <c r="C37" s="15" t="s">
        <v>235</v>
      </c>
      <c r="D37" s="233"/>
      <c r="E37" s="239"/>
      <c r="F37" s="239"/>
      <c r="G37" s="239"/>
      <c r="H37" s="23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x14ac:dyDescent="0.25">
      <c r="A38" s="254"/>
      <c r="B38" s="254"/>
      <c r="C38" s="15" t="s">
        <v>236</v>
      </c>
      <c r="D38" s="233"/>
      <c r="E38" s="239"/>
      <c r="F38" s="239"/>
      <c r="G38" s="239"/>
      <c r="H38" s="23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x14ac:dyDescent="0.25">
      <c r="A39" s="254"/>
      <c r="B39" s="254"/>
      <c r="C39" s="15" t="s">
        <v>237</v>
      </c>
      <c r="D39" s="233"/>
      <c r="E39" s="239"/>
      <c r="F39" s="239"/>
      <c r="G39" s="239"/>
      <c r="H39" s="23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x14ac:dyDescent="0.25">
      <c r="A40" s="243"/>
      <c r="B40" s="243"/>
      <c r="C40" s="15" t="s">
        <v>52</v>
      </c>
      <c r="D40" s="233"/>
      <c r="E40" s="239"/>
      <c r="F40" s="239"/>
      <c r="G40" s="239"/>
      <c r="H40" s="23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47.25" customHeight="1" x14ac:dyDescent="0.25">
      <c r="A41" s="11">
        <v>10</v>
      </c>
      <c r="B41" s="240" t="s">
        <v>238</v>
      </c>
      <c r="C41" s="241"/>
      <c r="D41" s="233"/>
      <c r="E41" s="239"/>
      <c r="F41" s="239"/>
      <c r="G41" s="239"/>
      <c r="H41" s="23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47.25" customHeight="1" x14ac:dyDescent="0.25">
      <c r="A42" s="11">
        <v>11</v>
      </c>
      <c r="B42" s="240" t="s">
        <v>239</v>
      </c>
      <c r="C42" s="241"/>
      <c r="D42" s="233"/>
      <c r="E42" s="239"/>
      <c r="F42" s="239"/>
      <c r="G42" s="239"/>
      <c r="H42" s="23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47.25" customHeight="1" x14ac:dyDescent="0.25">
      <c r="A43" s="11">
        <v>12</v>
      </c>
      <c r="B43" s="240" t="s">
        <v>240</v>
      </c>
      <c r="C43" s="241"/>
      <c r="D43" s="233"/>
      <c r="E43" s="239"/>
      <c r="F43" s="239"/>
      <c r="G43" s="239"/>
      <c r="H43" s="23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x14ac:dyDescent="0.25">
      <c r="A44" s="242">
        <v>13</v>
      </c>
      <c r="B44" s="247" t="s">
        <v>269</v>
      </c>
      <c r="C44" s="248"/>
      <c r="D44" s="244" t="s">
        <v>274</v>
      </c>
      <c r="E44" s="245"/>
      <c r="F44" s="245"/>
      <c r="G44" s="245"/>
      <c r="H44" s="246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47.25" customHeight="1" x14ac:dyDescent="0.25">
      <c r="A45" s="243"/>
      <c r="B45" s="249"/>
      <c r="C45" s="250"/>
      <c r="D45" s="233"/>
      <c r="E45" s="239"/>
      <c r="F45" s="239"/>
      <c r="G45" s="239"/>
      <c r="H45" s="23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x14ac:dyDescent="0.25">
      <c r="N46" s="238"/>
      <c r="O46" s="238"/>
    </row>
    <row r="47" spans="1:19" x14ac:dyDescent="0.25">
      <c r="B47" s="4" t="s">
        <v>241</v>
      </c>
      <c r="D47" s="23"/>
      <c r="E47" s="23"/>
      <c r="F47" s="24"/>
      <c r="G47" s="23"/>
      <c r="H47" s="25"/>
      <c r="J47" s="12"/>
      <c r="K47" s="12"/>
      <c r="L47" s="12"/>
      <c r="M47" s="12"/>
      <c r="N47" s="231"/>
      <c r="O47" s="231"/>
      <c r="P47" s="231"/>
      <c r="Q47" s="231"/>
      <c r="R47" s="231"/>
    </row>
    <row r="48" spans="1:19" ht="18.75" x14ac:dyDescent="0.25">
      <c r="D48" s="275" t="s">
        <v>242</v>
      </c>
      <c r="E48" s="275"/>
      <c r="F48" s="26"/>
      <c r="G48" s="275" t="s">
        <v>261</v>
      </c>
      <c r="H48" s="275"/>
      <c r="J48" s="12"/>
      <c r="K48" s="12"/>
      <c r="L48" s="12"/>
      <c r="M48" s="12"/>
      <c r="N48" s="231"/>
      <c r="O48" s="231"/>
      <c r="P48" s="231"/>
      <c r="Q48" s="231"/>
      <c r="R48" s="231"/>
    </row>
    <row r="49" spans="1:19" ht="18.75" x14ac:dyDescent="0.25">
      <c r="A49" s="251"/>
      <c r="D49" s="27"/>
      <c r="E49" s="28" t="s">
        <v>243</v>
      </c>
      <c r="F49" s="27"/>
      <c r="G49" s="27"/>
      <c r="H49" s="27"/>
      <c r="I49" s="29"/>
      <c r="J49" s="29"/>
      <c r="K49" s="29"/>
      <c r="L49" s="29"/>
      <c r="M49" s="29"/>
      <c r="N49" s="231"/>
      <c r="O49" s="231"/>
      <c r="P49" s="231"/>
      <c r="Q49" s="231"/>
      <c r="R49" s="231"/>
      <c r="S49" s="231"/>
    </row>
    <row r="50" spans="1:19" x14ac:dyDescent="0.25">
      <c r="A50" s="251"/>
      <c r="I50" s="29"/>
      <c r="J50" s="29"/>
      <c r="K50" s="29"/>
      <c r="L50" s="29"/>
      <c r="M50" s="29"/>
      <c r="N50" s="231"/>
      <c r="O50" s="231"/>
      <c r="P50" s="231"/>
      <c r="Q50" s="231"/>
      <c r="R50" s="231"/>
      <c r="S50" s="231"/>
    </row>
    <row r="51" spans="1:19" x14ac:dyDescent="0.2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x14ac:dyDescent="0.25">
      <c r="A52" s="32"/>
    </row>
  </sheetData>
  <sheetProtection algorithmName="SHA-512" hashValue="Z1sSOsCcA8H8poHnySH27JYCXoAeiRq8kt3VtAhAsgY850kkuM93orCa0KMIyJ5EC7zfRBqWew2w4zX1KdVuPg==" saltValue="mOZ/nVTEP9AtcrdXUqnajg==" spinCount="100000" sheet="1" formatCells="0" formatColumns="0" formatRows="0" insertColumns="0" insertRows="0" insertHyperlinks="0" deleteColumns="0" deleteRows="0" sort="0" autoFilter="0" pivotTables="0"/>
  <mergeCells count="89">
    <mergeCell ref="B35:C35"/>
    <mergeCell ref="B34:C34"/>
    <mergeCell ref="D35:G35"/>
    <mergeCell ref="D48:E48"/>
    <mergeCell ref="G48:H48"/>
    <mergeCell ref="A36:H36"/>
    <mergeCell ref="A37:A40"/>
    <mergeCell ref="B37:B40"/>
    <mergeCell ref="D41:H41"/>
    <mergeCell ref="B41:C41"/>
    <mergeCell ref="D34:E34"/>
    <mergeCell ref="F34:G34"/>
    <mergeCell ref="D37:H37"/>
    <mergeCell ref="D40:H40"/>
    <mergeCell ref="D39:H39"/>
    <mergeCell ref="D38:H38"/>
    <mergeCell ref="F26:G26"/>
    <mergeCell ref="F32:G32"/>
    <mergeCell ref="F31:G31"/>
    <mergeCell ref="F30:G30"/>
    <mergeCell ref="F29:G29"/>
    <mergeCell ref="F27:G27"/>
    <mergeCell ref="F33:G33"/>
    <mergeCell ref="D32:E32"/>
    <mergeCell ref="D31:E31"/>
    <mergeCell ref="D30:E30"/>
    <mergeCell ref="D29:E29"/>
    <mergeCell ref="B18:C18"/>
    <mergeCell ref="B21:C21"/>
    <mergeCell ref="B17:C17"/>
    <mergeCell ref="B28:C28"/>
    <mergeCell ref="D33:E33"/>
    <mergeCell ref="D26:E26"/>
    <mergeCell ref="D22:E22"/>
    <mergeCell ref="D23:E23"/>
    <mergeCell ref="D24:E24"/>
    <mergeCell ref="D19:E19"/>
    <mergeCell ref="D20:E20"/>
    <mergeCell ref="B25:C25"/>
    <mergeCell ref="D27:E27"/>
    <mergeCell ref="F19:G19"/>
    <mergeCell ref="F20:G20"/>
    <mergeCell ref="F22:G22"/>
    <mergeCell ref="F23:G23"/>
    <mergeCell ref="F24:G24"/>
    <mergeCell ref="A1:H1"/>
    <mergeCell ref="D7:E7"/>
    <mergeCell ref="F7:G7"/>
    <mergeCell ref="A11:A16"/>
    <mergeCell ref="D10:E10"/>
    <mergeCell ref="F8:G8"/>
    <mergeCell ref="B4:C4"/>
    <mergeCell ref="C11:C15"/>
    <mergeCell ref="D16:E16"/>
    <mergeCell ref="F16:G16"/>
    <mergeCell ref="D8:E8"/>
    <mergeCell ref="D9:E9"/>
    <mergeCell ref="B11:B16"/>
    <mergeCell ref="F10:G10"/>
    <mergeCell ref="D4:E4"/>
    <mergeCell ref="A49:A50"/>
    <mergeCell ref="N49:O50"/>
    <mergeCell ref="P49:R50"/>
    <mergeCell ref="S49:S50"/>
    <mergeCell ref="N47:O47"/>
    <mergeCell ref="P47:R47"/>
    <mergeCell ref="N48:O48"/>
    <mergeCell ref="P48:R48"/>
    <mergeCell ref="N46:O46"/>
    <mergeCell ref="D43:H43"/>
    <mergeCell ref="B43:C43"/>
    <mergeCell ref="A44:A45"/>
    <mergeCell ref="D42:H42"/>
    <mergeCell ref="B42:C42"/>
    <mergeCell ref="D44:H44"/>
    <mergeCell ref="D45:H45"/>
    <mergeCell ref="B44:C45"/>
    <mergeCell ref="N2:O2"/>
    <mergeCell ref="O17:S17"/>
    <mergeCell ref="O11:S11"/>
    <mergeCell ref="F9:G9"/>
    <mergeCell ref="B5:C5"/>
    <mergeCell ref="D5:H5"/>
    <mergeCell ref="I5:K5"/>
    <mergeCell ref="L5:M5"/>
    <mergeCell ref="N5:Q5"/>
    <mergeCell ref="R5:S5"/>
    <mergeCell ref="D17:E17"/>
    <mergeCell ref="F17:G17"/>
  </mergeCells>
  <pageMargins left="0.7" right="0.7" top="0.75" bottom="0.75" header="0.3" footer="0.3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'Данные Заявителя'!$E$93:$E$104</xm:f>
          </x14:formula1>
          <xm:sqref>D4</xm:sqref>
        </x14:dataValidation>
        <x14:dataValidation type="list" allowBlank="1" showInputMessage="1" showErrorMessage="1">
          <x14:formula1>
            <xm:f>'Данные Заявителя'!$A$169:$A$176</xm:f>
          </x14:formula1>
          <xm:sqref>D44:H44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Данные Заявителя</vt:lpstr>
      <vt:lpstr>Итоговые расчеты модели</vt:lpstr>
      <vt:lpstr>отчеты квартальные</vt:lpstr>
      <vt:lpstr>'Данные Заявителя'!Налоги</vt:lpstr>
      <vt:lpstr>'отчеты квартальные'!Область_печати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Муниципальный Фонд</dc:creator>
  <cp:lastModifiedBy>office4</cp:lastModifiedBy>
  <cp:lastPrinted>2020-01-14T07:44:07Z</cp:lastPrinted>
  <dcterms:created xsi:type="dcterms:W3CDTF">2015-06-05T18:19:34Z</dcterms:created>
  <dcterms:modified xsi:type="dcterms:W3CDTF">2021-11-10T06:48:13Z</dcterms:modified>
</cp:coreProperties>
</file>